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0"/>
  </bookViews>
  <sheets>
    <sheet name="на 01.07.2019" sheetId="1" r:id="rId1"/>
  </sheets>
  <definedNames>
    <definedName name="_xlnm.Print_Titles" localSheetId="0">'на 01.07.2019'!$6:$8</definedName>
    <definedName name="_xlnm.Print_Area" localSheetId="0">'на 01.07.2019'!$A$1:$J$199</definedName>
  </definedNames>
  <calcPr fullCalcOnLoad="1"/>
</workbook>
</file>

<file path=xl/comments1.xml><?xml version="1.0" encoding="utf-8"?>
<comments xmlns="http://schemas.openxmlformats.org/spreadsheetml/2006/main">
  <authors>
    <author>Користувач Windows</author>
  </authors>
  <commentList>
    <comment ref="H24" authorId="0">
      <text>
        <r>
          <rPr>
            <sz val="9"/>
            <rFont val="Tahoma"/>
            <family val="2"/>
          </rPr>
          <t xml:space="preserve">перерахунок пені лист ДКСУ від08.08.2018 №11-05-1/68-12974
</t>
        </r>
      </text>
    </comment>
  </commentList>
</comments>
</file>

<file path=xl/sharedStrings.xml><?xml version="1.0" encoding="utf-8"?>
<sst xmlns="http://schemas.openxmlformats.org/spreadsheetml/2006/main" count="485" uniqueCount="410">
  <si>
    <t xml:space="preserve">ХК "Реле та автоматика" </t>
  </si>
  <si>
    <t>УО "Укрфармація"</t>
  </si>
  <si>
    <t>УЗТФ "Біомед"</t>
  </si>
  <si>
    <t>ВАТ "Оріана"</t>
  </si>
  <si>
    <t>ВАТ "Текстерно"</t>
  </si>
  <si>
    <t>ВАТ "Херсонський бавовняний комбінат"</t>
  </si>
  <si>
    <t>ВАТ "ЗАлК"</t>
  </si>
  <si>
    <t>АТ "Чексіл"</t>
  </si>
  <si>
    <t>Національна телекомпанія України</t>
  </si>
  <si>
    <t>АХК "Укрнафтопродукт"</t>
  </si>
  <si>
    <t>ВАТ "Харківський тракторний завод"</t>
  </si>
  <si>
    <t>Корпорація "Украгропромбіржа"</t>
  </si>
  <si>
    <t>Асоціація "Земля і люди"</t>
  </si>
  <si>
    <t>Українська аграрна біржа</t>
  </si>
  <si>
    <t>Концерн "Украгротехсервіс"</t>
  </si>
  <si>
    <t>Агрофірма "Зоря"</t>
  </si>
  <si>
    <t>НВДАФ "Наукова"</t>
  </si>
  <si>
    <t>ТОВ "Кріогенні технології"</t>
  </si>
  <si>
    <t>ВАТ "Кіцманське РТП" с/г техн. (Південмаш)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</si>
  <si>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</si>
  <si>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</si>
  <si>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</si>
  <si>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ВАТ "Лисичанськвугілля"</t>
  </si>
  <si>
    <t>ДП "ДБУНП "Повітряний експрес"</t>
  </si>
  <si>
    <t>ЗАТ "Ворскла"</t>
  </si>
  <si>
    <t>КП "Водопостачання м. Вознесенська"</t>
  </si>
  <si>
    <t>АТ "Стальметиз"</t>
  </si>
  <si>
    <t xml:space="preserve">АТ "Епос - Холдінг" </t>
  </si>
  <si>
    <t>ЗАТ “Сумикамволь”</t>
  </si>
  <si>
    <t>КП "Фірма Маріам - А"</t>
  </si>
  <si>
    <t>ПФ "Софія Київська"</t>
  </si>
  <si>
    <t>СП "Ратай"</t>
  </si>
  <si>
    <t>Фірма “Атон”, Транснаціональна корпорація "Атон"</t>
  </si>
  <si>
    <t>Агрофірма "Славутич"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</si>
  <si>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</si>
  <si>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</si>
  <si>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АТ "Сілур"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</si>
  <si>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</si>
  <si>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</si>
  <si>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</si>
  <si>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</si>
  <si>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</si>
  <si>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</si>
  <si>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АБ "Донвуглекомбанк"</t>
  </si>
  <si>
    <t>ЗАТ "Гібрид-С"</t>
  </si>
  <si>
    <t>ДП ВО "Південмаш" 
ім.О.М. Макарова</t>
  </si>
  <si>
    <t xml:space="preserve">ВАТ "Надвірнянський лісокомбінат" </t>
  </si>
  <si>
    <t>ЗАТ СНК "Одеська кукурудза"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</si>
  <si>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</si>
  <si>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</si>
  <si>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</si>
  <si>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</si>
  <si>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</si>
  <si>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</si>
  <si>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</si>
  <si>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</si>
  <si>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</si>
  <si>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</si>
  <si>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</si>
  <si>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</si>
  <si>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</si>
  <si>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</si>
  <si>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</si>
  <si>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</si>
  <si>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</si>
  <si>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</si>
  <si>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</si>
  <si>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</si>
  <si>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</si>
  <si>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</si>
  <si>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</si>
  <si>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</si>
  <si>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</si>
  <si>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</si>
  <si>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</si>
  <si>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</si>
  <si>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</si>
  <si>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</si>
  <si>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</si>
  <si>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</si>
  <si>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</si>
  <si>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</si>
  <si>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</si>
  <si>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</si>
  <si>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</si>
  <si>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</si>
  <si>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</si>
  <si>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</si>
  <si>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</si>
  <si>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</si>
  <si>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</si>
  <si>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</si>
  <si>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</si>
  <si>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</si>
  <si>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</si>
  <si>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</si>
  <si>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</si>
  <si>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</si>
  <si>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</si>
  <si>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</si>
  <si>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</si>
  <si>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</si>
  <si>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</si>
  <si>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</si>
  <si>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</si>
  <si>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</si>
  <si>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</si>
  <si>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</si>
  <si>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</si>
  <si>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</si>
  <si>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</si>
  <si>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</si>
  <si>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</si>
  <si>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</si>
  <si>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</si>
  <si>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</si>
  <si>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</si>
  <si>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</si>
  <si>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</si>
  <si>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</si>
  <si>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</si>
  <si>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</si>
  <si>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</si>
  <si>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</si>
  <si>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</si>
  <si>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</si>
  <si>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</si>
  <si>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</si>
  <si>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</si>
  <si>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</si>
  <si>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</si>
  <si>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</si>
  <si>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</si>
  <si>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</si>
  <si>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</si>
  <si>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</si>
  <si>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</si>
  <si>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</si>
  <si>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</si>
  <si>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</si>
  <si>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</si>
  <si>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</si>
  <si>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</si>
  <si>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</si>
  <si>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</si>
  <si>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</si>
  <si>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</si>
  <si>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</si>
  <si>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№ 40-1919/9 від 23.07.97 
(Шпек Р.В.)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</si>
  <si>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</si>
  <si>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</si>
  <si>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</si>
  <si>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</si>
  <si>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</si>
  <si>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</si>
  <si>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</si>
  <si>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</si>
  <si>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</si>
  <si>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</si>
  <si>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постанова ВРУ
від 07.06.96 № 239/96</t>
  </si>
  <si>
    <t>Закон України  від 26.03.96 №113/96-ВР</t>
  </si>
  <si>
    <t>телебачення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</si>
  <si>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</si>
  <si>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</si>
  <si>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</si>
  <si>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</si>
  <si>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</si>
  <si>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</si>
  <si>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</si>
  <si>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</si>
  <si>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</si>
  <si>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</si>
  <si>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</si>
  <si>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</si>
  <si>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</si>
  <si>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</si>
  <si>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</si>
  <si>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</si>
  <si>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</si>
  <si>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</si>
  <si>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</si>
  <si>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</si>
  <si>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</si>
  <si>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</si>
  <si>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</si>
  <si>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</si>
  <si>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</si>
  <si>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</si>
  <si>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</si>
  <si>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</si>
  <si>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</si>
  <si>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</si>
  <si>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</si>
  <si>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</si>
  <si>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</si>
  <si>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</si>
  <si>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</si>
  <si>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</si>
  <si>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</si>
  <si>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</si>
  <si>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</si>
  <si>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</si>
  <si>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</si>
  <si>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</si>
  <si>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</si>
  <si>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</si>
  <si>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</si>
  <si>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</si>
  <si>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</si>
  <si>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</si>
  <si>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>Центр державного земельного кадастру при Держкомземі</t>
  </si>
  <si>
    <t xml:space="preserve">Закон України від 25.06.2004 №1776-IV </t>
  </si>
  <si>
    <t>Угода про позику № 47090-UA від 17.10.2003</t>
  </si>
  <si>
    <t>видача державних актів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</si>
  <si>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</si>
  <si>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</si>
  <si>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</si>
  <si>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</si>
  <si>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</si>
  <si>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</si>
  <si>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 xml:space="preserve">КП "Дрогобичводоканал"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</si>
  <si>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</si>
  <si>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</si>
  <si>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</si>
  <si>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</si>
  <si>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Первомайська міська рада </t>
  </si>
  <si>
    <t xml:space="preserve">КП "Водотеплосервіс"(м.Калуш)                                          </t>
  </si>
  <si>
    <t xml:space="preserve">  Угода від16.10.2009  №28010-02/110  </t>
  </si>
  <si>
    <t>КП "Новоград-Волинське УВКГ"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</si>
  <si>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</si>
  <si>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</si>
  <si>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</si>
  <si>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</si>
  <si>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</si>
  <si>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</si>
  <si>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КП "Служба єдиного замовника" 
м. Кам'янець-Подільський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</si>
  <si>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</si>
  <si>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</si>
  <si>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</si>
  <si>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</si>
  <si>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</si>
  <si>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</si>
  <si>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</si>
  <si>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</si>
  <si>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</si>
  <si>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КП "Бориспільводоканал"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</si>
  <si>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</si>
  <si>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</si>
  <si>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</si>
  <si>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</si>
  <si>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</si>
  <si>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</si>
  <si>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</si>
  <si>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</si>
  <si>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</si>
  <si>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</si>
  <si>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</si>
  <si>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</si>
  <si>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</si>
  <si>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 xml:space="preserve">ПАТ "Укргідроенерго" 
</t>
  </si>
  <si>
    <t>Угода від 21.09.2012 №31177</t>
  </si>
  <si>
    <t xml:space="preserve">Українська енерго-сервісна компанія (УкрЕСКО) 
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</si>
  <si>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</si>
  <si>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</si>
  <si>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</si>
  <si>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</si>
  <si>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</si>
  <si>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</si>
  <si>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</si>
  <si>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</si>
  <si>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</si>
  <si>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</si>
  <si>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</si>
  <si>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</si>
  <si>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ПАТ  КБ "Кредитпромбанк"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</si>
  <si>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</si>
  <si>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</si>
  <si>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</si>
  <si>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</si>
  <si>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</si>
  <si>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</si>
  <si>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</si>
  <si>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</si>
  <si>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</si>
  <si>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</si>
  <si>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</si>
  <si>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</si>
  <si>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</si>
  <si>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</si>
  <si>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 
(ТОВ "Юрчиха")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</si>
  <si>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</si>
  <si>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</si>
  <si>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</si>
  <si>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</si>
  <si>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</si>
  <si>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</si>
  <si>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</si>
  <si>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</si>
  <si>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ТОВ "Геснерія ЛТД" 
</t>
    </r>
    <r>
      <rPr>
        <i/>
        <sz val="11"/>
        <rFont val="Times New Roman"/>
        <family val="1"/>
      </rPr>
      <t>(солідарна відповідальність з ВАТ "Укрімпекс" )</t>
    </r>
  </si>
  <si>
    <r>
      <t xml:space="preserve">АТЗТ "Асоціація дитячого харчування" 
</t>
    </r>
    <r>
      <rPr>
        <i/>
        <sz val="11"/>
        <rFont val="Times New Roman"/>
        <family val="1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</si>
  <si>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</rPr>
      <t xml:space="preserve"> (солідарна відповідальність з Луганською обласною державною адміністрацією)</t>
    </r>
  </si>
  <si>
    <r>
      <t xml:space="preserve">ВАТ "Агромашсервіскомплект" </t>
    </r>
    <r>
      <rPr>
        <i/>
        <sz val="11"/>
        <rFont val="Times New Roman"/>
        <family val="1"/>
      </rPr>
      <t>(солідарна відповідальність з Житомирською обласною державною адміністрацією)</t>
    </r>
  </si>
  <si>
    <r>
      <t xml:space="preserve">ВАТ "Сумиоблагротехсервіс", </t>
    </r>
    <r>
      <rPr>
        <b/>
        <i/>
        <sz val="11"/>
        <rFont val="Times New Roman"/>
        <family val="1"/>
      </rPr>
      <t>солідарна відповідальність з 
Сумська облдержадміністрація (гарант),</t>
    </r>
  </si>
  <si>
    <r>
      <t>КП "Городок"</t>
    </r>
    <r>
      <rPr>
        <b/>
        <i/>
        <sz val="11"/>
        <rFont val="Times New Roman"/>
        <family val="1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</si>
  <si>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</si>
  <si>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</si>
  <si>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</si>
  <si>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</si>
  <si>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угоди про уступку права вимоги 28.11.03 №130-04/108, 
28.11.03 №130-04/109, 
від 03.12.003 №130-04/111)</t>
  </si>
  <si>
    <t>№ 40-1858/96 від 30.08.93 
(Ландик В.І.)</t>
  </si>
  <si>
    <r>
      <t xml:space="preserve">ХК "Прикарпатліс" 
</t>
    </r>
    <r>
      <rPr>
        <i/>
        <sz val="11"/>
        <rFont val="Times New Roman"/>
        <family val="1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</si>
  <si>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</si>
  <si>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</si>
  <si>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</si>
  <si>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 ВАТ "Херсонський консервний завод дитячого харчування 
ім. 8 березня" 
</t>
    </r>
    <r>
      <rPr>
        <b/>
        <i/>
        <sz val="11"/>
        <rFont val="Times New Roman"/>
        <family val="1"/>
      </rPr>
      <t>(</t>
    </r>
    <r>
      <rPr>
        <i/>
        <sz val="11"/>
        <rFont val="Times New Roman"/>
        <family val="1"/>
      </rPr>
      <t>солідарна відповідальність 
з ВАТ "Укрімпекс" )</t>
    </r>
  </si>
  <si>
    <r>
      <t xml:space="preserve">ООО "Геснерія-Центр"
</t>
    </r>
    <r>
      <rPr>
        <i/>
        <sz val="11"/>
        <rFont val="Times New Roman"/>
        <family val="1"/>
      </rPr>
      <t>(солідарна відповідальність з ВАТ  Укрімпекс")</t>
    </r>
  </si>
  <si>
    <r>
      <t xml:space="preserve">АТ "Агросоюз" 
</t>
    </r>
    <r>
      <rPr>
        <i/>
        <sz val="11"/>
        <rFont val="Times New Roman"/>
        <family val="1"/>
      </rPr>
      <t>(солідарна відповідальність з Київською обласною державною адміністрацією)</t>
    </r>
  </si>
  <si>
    <t>Корпорація "Агродон"</t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</si>
  <si>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</si>
  <si>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</si>
  <si>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</si>
  <si>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</si>
  <si>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</si>
  <si>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</si>
  <si>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</si>
  <si>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</si>
  <si>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</si>
  <si>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</si>
  <si>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</si>
  <si>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</si>
  <si>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</si>
  <si>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</si>
  <si>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</si>
  <si>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</si>
  <si>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 xml:space="preserve">НЕК "Укренерго" </t>
  </si>
  <si>
    <t>Договір від 23.07.97 
(Мітюков І.О.)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</si>
  <si>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</si>
  <si>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</si>
  <si>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</si>
  <si>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>Договір про надання позики (Проект розвитку ринку електроенергії ) між Україною та МБРР</t>
  </si>
  <si>
    <t>Угода про позику №40980-UA від 01.11.1996</t>
  </si>
  <si>
    <t>ПАТ "ДТЕК Дніпроенерго"</t>
  </si>
  <si>
    <t>ВАТ "Макіївський металургійний комбінат"</t>
  </si>
  <si>
    <t>№40-1085/5 від 18.05.1992 (Слєпічев)</t>
  </si>
  <si>
    <r>
      <t xml:space="preserve">ЛПО "Прикарпатліс",  </t>
    </r>
    <r>
      <rPr>
        <i/>
        <sz val="11"/>
        <rFont val="Times New Roman"/>
        <family val="1"/>
      </rPr>
      <t>(солідарна відповідальність з ХК "Прикарпатліс", 
ВАТ "Прикарпатський меблевий комбінат" та  ВАТ "Івано-Франківська меблева фабрика")</t>
    </r>
  </si>
  <si>
    <t>виробниче обладнання</t>
  </si>
  <si>
    <t xml:space="preserve"> </t>
  </si>
  <si>
    <t>ТОВ «ЕСОММ СО»</t>
  </si>
  <si>
    <t>Договір від 29.12.2017 №13010-05/224</t>
  </si>
  <si>
    <t>технічне переоснащення</t>
  </si>
  <si>
    <t>Угода від 11.10.2012 №15010-03/98</t>
  </si>
  <si>
    <t xml:space="preserve">ДАК "Хліб України" </t>
  </si>
  <si>
    <t>розпорядження КМУ від 23.08.1996 №534-р, від 02.09.1996 №548-р</t>
  </si>
  <si>
    <t>Міжурядові угоди від 21.07.1993 (Персіянов О. Б), від 04.03.1994 (Карасик Ю. М.), від 29.12.1995 (Щербак Ю. М.)</t>
  </si>
  <si>
    <t>ДП "Агентство з реструктуризації заборгованості підприємств агропромислового комплексу"</t>
  </si>
  <si>
    <t>Акт передачі-приймання кредиторської забооргованості від 31.07.2003</t>
  </si>
  <si>
    <t>ДП "Укркосмос"</t>
  </si>
  <si>
    <t>  Договір   №28010-02/137 від 15.12.2009</t>
  </si>
  <si>
    <t>КП "Дніпропетровський метрополітен"</t>
  </si>
  <si>
    <t>Угода від 21.12.2012 №15010-03/138</t>
  </si>
  <si>
    <t xml:space="preserve">Гарантійне зобов'язання від 11.03.1996 №2-13-89
Постанова Господарського суду м. Києва  від 06.12.2007 справа №32/120-А  - позовні вимоги визнані необгрунтованими та задоволенню не підлягають </t>
  </si>
  <si>
    <r>
      <t xml:space="preserve">Київська обласна державна адміністрація*
</t>
    </r>
    <r>
      <rPr>
        <i/>
        <sz val="11"/>
        <rFont val="Times New Roman"/>
        <family val="1"/>
      </rPr>
      <t>(солідарна з АТ "Агросоюз")</t>
    </r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</si>
  <si>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гарантії, 
за станом на 01.07.2019р. </t>
  </si>
  <si>
    <t>Заборгованість перед державною
млн. дол. США
(на 01.07.2019)</t>
  </si>
  <si>
    <t>(курс Національного банку України на 30.06.2019)</t>
  </si>
  <si>
    <t xml:space="preserve">Державною казначейською
службою України
(станом на 01.06.2019) </t>
  </si>
  <si>
    <t>КП "Вінницяоблводоканал"</t>
  </si>
  <si>
    <t>КП "Дніпротеплоенерго"</t>
  </si>
  <si>
    <t>Угода від 28.02.2017 №13010-05/25</t>
  </si>
  <si>
    <t>Угода від 28.02.2017 №13010-05/26</t>
  </si>
  <si>
    <t>Угода від 28.11.2014 №13010-05/121</t>
  </si>
  <si>
    <t>Угода від 28.11.2014 №13010-05/122</t>
  </si>
  <si>
    <t>КП "Тернопільміськтеплокомуненерго"</t>
  </si>
  <si>
    <t>Угода від 18.08.2016 №13010-05/79</t>
  </si>
  <si>
    <t>Угода від 18.08.2016 №13010-05/80</t>
  </si>
  <si>
    <t>ОКП "Миколаївоблтеплоенерго"</t>
  </si>
  <si>
    <t>Угода від 20.11.2014 №13010-05/107</t>
  </si>
  <si>
    <t>Угода від 20.11.2014 №13010-05/108</t>
  </si>
  <si>
    <t>КП "Харківські теплові мережі"</t>
  </si>
  <si>
    <t>Угода від 20.11.2014 №13010-05/103</t>
  </si>
  <si>
    <t>Угода від 20.11.2014 №13010-05/104</t>
  </si>
  <si>
    <t>МКП "Херсонтеплоенерго"</t>
  </si>
  <si>
    <t>Угода від 20.11.2014 №13010-05/105</t>
  </si>
  <si>
    <t>Угода від 20.11.2014 №13010-05/106</t>
  </si>
  <si>
    <t>КП "Міськтепловодоенергія"</t>
  </si>
  <si>
    <t>Угода від 20.11.2014 №13010-05/101</t>
  </si>
  <si>
    <t>Угода від 20.11.2014 №13010-05/102</t>
  </si>
  <si>
    <t>Угода від 20.11.2014 №13010-05/93</t>
  </si>
  <si>
    <t>Угода від 20.11.2014 №13010-05/94</t>
  </si>
  <si>
    <t>КП "Муніципальна компанія поводження з відходами" м. Харків</t>
  </si>
  <si>
    <t>Угода від 20.11.2014 №13010-05/89</t>
  </si>
  <si>
    <t>Угода від 20.11.2014 №13010-05/90</t>
  </si>
  <si>
    <t>КВП "Дніпро-Кіровоград"</t>
  </si>
  <si>
    <t>Угода від 20.11.2014 №13010-05/97</t>
  </si>
  <si>
    <t>Угода від 20.11.2014 №13010-05/98</t>
  </si>
  <si>
    <t>КП "Житомирводоканал"</t>
  </si>
  <si>
    <t>Угода від 20.11.2014 №13010-05/91</t>
  </si>
  <si>
    <t>Угода від 20.11.2014 №13010-05/92</t>
  </si>
  <si>
    <t>КП "Тернопільводоканал"</t>
  </si>
  <si>
    <t>Угода від 20.11.2014 №13010-05/95</t>
  </si>
  <si>
    <t>Угода від 20.11.2014 №13010-05/96</t>
  </si>
  <si>
    <t>ПАТ "Київводоканал"</t>
  </si>
  <si>
    <t>Угода від 04.12.2014 №13010-05/128</t>
  </si>
  <si>
    <t>Угода від 04.12.2014 №13010-05/129</t>
  </si>
  <si>
    <t>КП "Краматорський водоканал"</t>
  </si>
  <si>
    <t>Угода від 04.12.2014 №13010-05/127</t>
  </si>
  <si>
    <t>Угода від 17.06.2015 №13010-05/63</t>
  </si>
  <si>
    <t>Підприємство "Нововолинськводоканал"</t>
  </si>
  <si>
    <t>Угода від 03.05.2017 №13010-05/68</t>
  </si>
  <si>
    <t>Угода від 28.02.2017 №13010-05/24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</si>
</sst>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0000000"/>
    <numFmt numFmtId="182" formatCode="#,##0.000"/>
    <numFmt numFmtId="183" formatCode="#,##0.00000"/>
    <numFmt numFmtId="184" formatCode="#,##0.00000000"/>
    <numFmt numFmtId="185" formatCode="#,##0.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6" fillId="0" borderId="0">
      <alignment/>
      <protection/>
    </xf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3" fontId="7" fillId="0" borderId="11" xfId="53" applyNumberFormat="1" applyFont="1" applyFill="1" applyBorder="1" applyAlignment="1">
      <alignment horizontal="center" vertical="center" wrapText="1"/>
      <protection/>
    </xf>
    <xf numFmtId="183" fontId="2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182" fontId="8" fillId="33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34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/>
    </xf>
    <xf numFmtId="182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182" fontId="8" fillId="0" borderId="16" xfId="0" applyNumberFormat="1" applyFont="1" applyFill="1" applyBorder="1" applyAlignment="1">
      <alignment horizontal="right" vertical="center"/>
    </xf>
    <xf numFmtId="182" fontId="8" fillId="0" borderId="10" xfId="0" applyNumberFormat="1" applyFont="1" applyFill="1" applyBorder="1" applyAlignment="1">
      <alignment horizontal="right" vertical="center"/>
    </xf>
    <xf numFmtId="182" fontId="8" fillId="33" borderId="11" xfId="0" applyNumberFormat="1" applyFont="1" applyFill="1" applyBorder="1" applyAlignment="1">
      <alignment vertical="center"/>
    </xf>
    <xf numFmtId="182" fontId="5" fillId="34" borderId="11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11" xfId="0" applyNumberFormat="1" applyFont="1" applyFill="1" applyBorder="1" applyAlignment="1">
      <alignment horizontal="right" vertical="center" wrapText="1"/>
    </xf>
    <xf numFmtId="182" fontId="8" fillId="33" borderId="12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 applyProtection="1">
      <alignment horizontal="right" wrapText="1"/>
      <protection/>
    </xf>
    <xf numFmtId="182" fontId="8" fillId="33" borderId="11" xfId="0" applyNumberFormat="1" applyFont="1" applyFill="1" applyBorder="1" applyAlignment="1">
      <alignment/>
    </xf>
    <xf numFmtId="182" fontId="8" fillId="33" borderId="1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right" wrapText="1"/>
    </xf>
    <xf numFmtId="180" fontId="5" fillId="34" borderId="11" xfId="0" applyNumberFormat="1" applyFont="1" applyFill="1" applyBorder="1" applyAlignment="1">
      <alignment horizontal="right" wrapText="1"/>
    </xf>
    <xf numFmtId="180" fontId="5" fillId="35" borderId="11" xfId="0" applyNumberFormat="1" applyFont="1" applyFill="1" applyBorder="1" applyAlignment="1">
      <alignment horizontal="right"/>
    </xf>
    <xf numFmtId="182" fontId="5" fillId="34" borderId="12" xfId="0" applyNumberFormat="1" applyFont="1" applyFill="1" applyBorder="1" applyAlignment="1">
      <alignment horizontal="right" vertical="center"/>
    </xf>
    <xf numFmtId="182" fontId="8" fillId="33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 applyProtection="1">
      <alignment horizontal="right" wrapText="1"/>
      <protection/>
    </xf>
    <xf numFmtId="180" fontId="5" fillId="34" borderId="11" xfId="0" applyNumberFormat="1" applyFont="1" applyFill="1" applyBorder="1" applyAlignment="1">
      <alignment horizontal="right"/>
    </xf>
    <xf numFmtId="182" fontId="8" fillId="0" borderId="1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0" fontId="5" fillId="36" borderId="17" xfId="0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182" fontId="5" fillId="36" borderId="17" xfId="0" applyNumberFormat="1" applyFont="1" applyFill="1" applyBorder="1" applyAlignment="1">
      <alignment horizontal="center"/>
    </xf>
    <xf numFmtId="182" fontId="5" fillId="36" borderId="17" xfId="0" applyNumberFormat="1" applyFont="1" applyFill="1" applyBorder="1" applyAlignment="1">
      <alignment horizontal="right"/>
    </xf>
    <xf numFmtId="182" fontId="5" fillId="36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2" fontId="5" fillId="34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82" fontId="8" fillId="0" borderId="18" xfId="0" applyNumberFormat="1" applyFont="1" applyFill="1" applyBorder="1" applyAlignment="1">
      <alignment horizontal="right" vertical="center"/>
    </xf>
    <xf numFmtId="182" fontId="8" fillId="0" borderId="15" xfId="0" applyNumberFormat="1" applyFont="1" applyBorder="1" applyAlignment="1">
      <alignment horizontal="right" vertical="center" wrapText="1"/>
    </xf>
    <xf numFmtId="182" fontId="8" fillId="0" borderId="11" xfId="0" applyNumberFormat="1" applyFont="1" applyFill="1" applyBorder="1" applyAlignment="1">
      <alignment horizontal="right" vertical="center" shrinkToFit="1"/>
    </xf>
    <xf numFmtId="182" fontId="8" fillId="0" borderId="15" xfId="0" applyNumberFormat="1" applyFont="1" applyFill="1" applyBorder="1" applyAlignment="1">
      <alignment horizontal="right" vertical="center" wrapText="1"/>
    </xf>
    <xf numFmtId="182" fontId="8" fillId="0" borderId="15" xfId="0" applyNumberFormat="1" applyFont="1" applyBorder="1" applyAlignment="1">
      <alignment vertical="center" wrapText="1"/>
    </xf>
    <xf numFmtId="182" fontId="8" fillId="0" borderId="0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>
      <alignment horizontal="right" vertical="center"/>
    </xf>
    <xf numFmtId="4" fontId="5" fillId="36" borderId="17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179" fontId="5" fillId="0" borderId="11" xfId="60" applyFont="1" applyBorder="1" applyAlignment="1">
      <alignment horizontal="left" vertical="center" wrapText="1"/>
    </xf>
    <xf numFmtId="179" fontId="5" fillId="0" borderId="11" xfId="6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79" fontId="5" fillId="37" borderId="11" xfId="60" applyFont="1" applyFill="1" applyBorder="1" applyAlignment="1">
      <alignment vertical="center" wrapText="1"/>
    </xf>
    <xf numFmtId="179" fontId="5" fillId="37" borderId="11" xfId="6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79" fontId="5" fillId="37" borderId="11" xfId="6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horizontal="right" wrapText="1"/>
    </xf>
    <xf numFmtId="182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182" fontId="8" fillId="33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182" fontId="5" fillId="36" borderId="23" xfId="0" applyNumberFormat="1" applyFont="1" applyFill="1" applyBorder="1" applyAlignment="1">
      <alignment horizontal="right" vertical="center"/>
    </xf>
    <xf numFmtId="182" fontId="8" fillId="0" borderId="15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center" vertical="center"/>
    </xf>
    <xf numFmtId="182" fontId="8" fillId="0" borderId="11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right" vertical="center"/>
    </xf>
    <xf numFmtId="182" fontId="8" fillId="0" borderId="11" xfId="0" applyNumberFormat="1" applyFont="1" applyFill="1" applyBorder="1" applyAlignment="1">
      <alignment horizontal="right"/>
    </xf>
    <xf numFmtId="182" fontId="8" fillId="0" borderId="12" xfId="0" applyNumberFormat="1" applyFont="1" applyFill="1" applyBorder="1" applyAlignment="1">
      <alignment horizontal="right"/>
    </xf>
    <xf numFmtId="182" fontId="5" fillId="0" borderId="17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82" fontId="8" fillId="34" borderId="15" xfId="0" applyNumberFormat="1" applyFont="1" applyFill="1" applyBorder="1" applyAlignment="1">
      <alignment horizontal="right" vertical="center" wrapText="1"/>
    </xf>
    <xf numFmtId="182" fontId="8" fillId="34" borderId="11" xfId="0" applyNumberFormat="1" applyFont="1" applyFill="1" applyBorder="1" applyAlignment="1">
      <alignment horizontal="right" vertical="center"/>
    </xf>
    <xf numFmtId="182" fontId="8" fillId="34" borderId="15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8" fillId="33" borderId="10" xfId="0" applyNumberFormat="1" applyFont="1" applyFill="1" applyBorder="1" applyAlignment="1">
      <alignment horizontal="right" vertical="center"/>
    </xf>
    <xf numFmtId="182" fontId="8" fillId="33" borderId="15" xfId="0" applyNumberFormat="1" applyFont="1" applyFill="1" applyBorder="1" applyAlignment="1">
      <alignment horizontal="right" vertical="center"/>
    </xf>
    <xf numFmtId="182" fontId="5" fillId="34" borderId="10" xfId="0" applyNumberFormat="1" applyFont="1" applyFill="1" applyBorder="1" applyAlignment="1">
      <alignment horizontal="right" vertical="center"/>
    </xf>
    <xf numFmtId="182" fontId="5" fillId="34" borderId="15" xfId="0" applyNumberFormat="1" applyFont="1" applyFill="1" applyBorder="1" applyAlignment="1">
      <alignment horizontal="right" vertical="center"/>
    </xf>
    <xf numFmtId="182" fontId="5" fillId="34" borderId="10" xfId="0" applyNumberFormat="1" applyFont="1" applyFill="1" applyBorder="1" applyAlignment="1">
      <alignment vertical="center"/>
    </xf>
    <xf numFmtId="182" fontId="5" fillId="34" borderId="15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2" fontId="5" fillId="34" borderId="15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84" fontId="5" fillId="36" borderId="17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right" vertical="center"/>
    </xf>
    <xf numFmtId="182" fontId="5" fillId="36" borderId="15" xfId="0" applyNumberFormat="1" applyFont="1" applyFill="1" applyBorder="1" applyAlignment="1">
      <alignment horizontal="center"/>
    </xf>
    <xf numFmtId="182" fontId="5" fillId="36" borderId="15" xfId="0" applyNumberFormat="1" applyFont="1" applyFill="1" applyBorder="1" applyAlignment="1">
      <alignment horizontal="right"/>
    </xf>
    <xf numFmtId="182" fontId="5" fillId="36" borderId="15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5" fillId="37" borderId="10" xfId="60" applyFont="1" applyFill="1" applyBorder="1" applyAlignment="1">
      <alignment horizontal="left" vertical="center" wrapText="1"/>
    </xf>
    <xf numFmtId="179" fontId="5" fillId="37" borderId="15" xfId="6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182" fontId="8" fillId="33" borderId="10" xfId="0" applyNumberFormat="1" applyFont="1" applyFill="1" applyBorder="1" applyAlignment="1">
      <alignment horizontal="right" vertical="center"/>
    </xf>
    <xf numFmtId="182" fontId="8" fillId="33" borderId="15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right" vertical="center"/>
    </xf>
    <xf numFmtId="182" fontId="8" fillId="0" borderId="1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2" fontId="5" fillId="34" borderId="10" xfId="0" applyNumberFormat="1" applyFont="1" applyFill="1" applyBorder="1" applyAlignment="1">
      <alignment horizontal="right" vertical="center"/>
    </xf>
    <xf numFmtId="182" fontId="5" fillId="34" borderId="18" xfId="0" applyNumberFormat="1" applyFont="1" applyFill="1" applyBorder="1" applyAlignment="1">
      <alignment horizontal="right" vertical="center"/>
    </xf>
    <xf numFmtId="182" fontId="5" fillId="34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8" fillId="33" borderId="18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>
      <alignment vertical="center"/>
    </xf>
    <xf numFmtId="182" fontId="5" fillId="34" borderId="18" xfId="0" applyNumberFormat="1" applyFont="1" applyFill="1" applyBorder="1" applyAlignment="1">
      <alignment vertical="center"/>
    </xf>
    <xf numFmtId="182" fontId="5" fillId="34" borderId="15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182" fontId="9" fillId="33" borderId="10" xfId="0" applyNumberFormat="1" applyFont="1" applyFill="1" applyBorder="1" applyAlignment="1">
      <alignment horizontal="right" vertical="center"/>
    </xf>
    <xf numFmtId="182" fontId="9" fillId="33" borderId="18" xfId="0" applyNumberFormat="1" applyFont="1" applyFill="1" applyBorder="1" applyAlignment="1">
      <alignment horizontal="right" vertical="center"/>
    </xf>
    <xf numFmtId="182" fontId="9" fillId="33" borderId="15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182" fontId="5" fillId="34" borderId="10" xfId="0" applyNumberFormat="1" applyFont="1" applyFill="1" applyBorder="1" applyAlignment="1">
      <alignment horizontal="right" vertical="center" wrapText="1"/>
    </xf>
    <xf numFmtId="182" fontId="5" fillId="34" borderId="15" xfId="0" applyNumberFormat="1" applyFont="1" applyFill="1" applyBorder="1" applyAlignment="1">
      <alignment horizontal="right" vertical="center" wrapText="1"/>
    </xf>
    <xf numFmtId="181" fontId="8" fillId="33" borderId="0" xfId="0" applyNumberFormat="1" applyFont="1" applyFill="1" applyAlignment="1">
      <alignment/>
    </xf>
    <xf numFmtId="184" fontId="5" fillId="33" borderId="0" xfId="0" applyNumberFormat="1" applyFont="1" applyFill="1" applyAlignment="1">
      <alignment/>
    </xf>
    <xf numFmtId="184" fontId="8" fillId="33" borderId="0" xfId="0" applyNumberFormat="1" applyFont="1" applyFill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05"/>
  <sheetViews>
    <sheetView tabSelected="1" zoomScale="90" zoomScaleNormal="90" zoomScalePageLayoutView="0" workbookViewId="0" topLeftCell="A1">
      <pane xSplit="1" ySplit="8" topLeftCell="B15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09" sqref="F209"/>
    </sheetView>
  </sheetViews>
  <sheetFormatPr defaultColWidth="9.140625" defaultRowHeight="15"/>
  <cols>
    <col min="1" max="1" width="41.421875" style="32" customWidth="1"/>
    <col min="2" max="2" width="26.7109375" style="31" customWidth="1"/>
    <col min="3" max="3" width="36.57421875" style="31" customWidth="1"/>
    <col min="4" max="4" width="18.28125" style="31" bestFit="1" customWidth="1"/>
    <col min="5" max="5" width="21.421875" style="31" customWidth="1"/>
    <col min="6" max="6" width="20.57421875" style="32" bestFit="1" customWidth="1"/>
    <col min="7" max="7" width="22.140625" style="91" bestFit="1" customWidth="1"/>
    <col min="8" max="8" width="20.28125" style="33" bestFit="1" customWidth="1"/>
    <col min="9" max="9" width="15.57421875" style="31" customWidth="1"/>
    <col min="10" max="10" width="21.421875" style="34" bestFit="1" customWidth="1"/>
    <col min="11" max="11" width="12.421875" style="35" bestFit="1" customWidth="1"/>
    <col min="12" max="12" width="5.28125" style="35" bestFit="1" customWidth="1"/>
    <col min="13" max="13" width="9.140625" style="35" customWidth="1"/>
    <col min="14" max="14" width="2.00390625" style="35" bestFit="1" customWidth="1"/>
    <col min="15" max="16384" width="9.140625" style="35" customWidth="1"/>
  </cols>
  <sheetData>
    <row r="1" spans="1:10" ht="15">
      <c r="A1" s="160"/>
      <c r="B1" s="35"/>
      <c r="C1" s="35"/>
      <c r="D1" s="35"/>
      <c r="E1" s="35"/>
      <c r="F1" s="160"/>
      <c r="G1" s="157"/>
      <c r="H1" s="119"/>
      <c r="I1" s="35"/>
      <c r="J1" s="170"/>
    </row>
    <row r="2" spans="1:10" ht="59.25" customHeight="1">
      <c r="A2" s="191" t="s">
        <v>362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5">
      <c r="A3" s="193" t="s">
        <v>364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">
      <c r="A4" s="158" t="s">
        <v>346</v>
      </c>
      <c r="B4" s="158"/>
      <c r="C4" s="158"/>
      <c r="D4" s="158"/>
      <c r="E4" s="158"/>
      <c r="F4" s="158"/>
      <c r="G4" s="159"/>
      <c r="H4" s="158"/>
      <c r="I4" s="158"/>
      <c r="J4" s="158"/>
    </row>
    <row r="5" spans="1:10" ht="15">
      <c r="A5" s="160"/>
      <c r="B5" s="35"/>
      <c r="C5" s="35"/>
      <c r="D5" s="35"/>
      <c r="E5" s="35"/>
      <c r="F5" s="160"/>
      <c r="G5" s="157"/>
      <c r="H5" s="119"/>
      <c r="I5" s="35"/>
      <c r="J5" s="170"/>
    </row>
    <row r="6" spans="1:12" ht="15">
      <c r="A6" s="197" t="s">
        <v>304</v>
      </c>
      <c r="B6" s="197" t="s">
        <v>54</v>
      </c>
      <c r="C6" s="197" t="s">
        <v>55</v>
      </c>
      <c r="D6" s="197" t="s">
        <v>63</v>
      </c>
      <c r="E6" s="197" t="s">
        <v>57</v>
      </c>
      <c r="F6" s="197" t="s">
        <v>363</v>
      </c>
      <c r="G6" s="196" t="s">
        <v>56</v>
      </c>
      <c r="H6" s="196"/>
      <c r="I6" s="196" t="s">
        <v>305</v>
      </c>
      <c r="J6" s="196"/>
      <c r="K6" s="222">
        <f>2973.0243/2616.6382</f>
        <v>1.1361999912712426</v>
      </c>
      <c r="L6" s="35" t="s">
        <v>60</v>
      </c>
    </row>
    <row r="7" spans="1:10" ht="58.5" customHeight="1">
      <c r="A7" s="198"/>
      <c r="B7" s="198"/>
      <c r="C7" s="198"/>
      <c r="D7" s="198"/>
      <c r="E7" s="198"/>
      <c r="F7" s="198"/>
      <c r="G7" s="133" t="s">
        <v>327</v>
      </c>
      <c r="H7" s="26" t="s">
        <v>365</v>
      </c>
      <c r="I7" s="152">
        <v>2018</v>
      </c>
      <c r="J7" s="152">
        <v>2019</v>
      </c>
    </row>
    <row r="8" spans="1:12" ht="15">
      <c r="A8" s="161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7">
        <v>7</v>
      </c>
      <c r="H8" s="37">
        <v>8</v>
      </c>
      <c r="I8" s="37">
        <v>9</v>
      </c>
      <c r="J8" s="37">
        <v>10</v>
      </c>
      <c r="K8" s="35">
        <v>26.166382</v>
      </c>
      <c r="L8" s="35" t="s">
        <v>62</v>
      </c>
    </row>
    <row r="9" spans="1:12" ht="38.25">
      <c r="A9" s="92" t="s">
        <v>15</v>
      </c>
      <c r="B9" s="5"/>
      <c r="C9" s="5" t="s">
        <v>58</v>
      </c>
      <c r="D9" s="38">
        <f>(31.33472/1.95583)*K6</f>
        <v>18.20327359253454</v>
      </c>
      <c r="E9" s="4" t="s">
        <v>59</v>
      </c>
      <c r="F9" s="39">
        <f>6.10404959*K6</f>
        <v>6.935421090877232</v>
      </c>
      <c r="G9" s="43">
        <v>0</v>
      </c>
      <c r="H9" s="43">
        <f>16602698.89/1000000</f>
        <v>16.60269889</v>
      </c>
      <c r="I9" s="39">
        <v>0</v>
      </c>
      <c r="J9" s="39">
        <v>0</v>
      </c>
      <c r="K9" s="35">
        <f>24.28941/2616.6382</f>
        <v>0.009282678056140891</v>
      </c>
      <c r="L9" s="35" t="s">
        <v>61</v>
      </c>
    </row>
    <row r="10" spans="1:10" ht="25.5">
      <c r="A10" s="154" t="s">
        <v>50</v>
      </c>
      <c r="B10" s="24" t="s">
        <v>166</v>
      </c>
      <c r="C10" s="25"/>
      <c r="D10" s="48">
        <f>13.03562003*K6</f>
        <v>14.811071364301236</v>
      </c>
      <c r="E10" s="28" t="s">
        <v>167</v>
      </c>
      <c r="F10" s="39">
        <v>0</v>
      </c>
      <c r="G10" s="43">
        <v>0</v>
      </c>
      <c r="H10" s="43">
        <f>4753481.16/1000000</f>
        <v>4.75348116</v>
      </c>
      <c r="I10" s="39">
        <v>0</v>
      </c>
      <c r="J10" s="39">
        <v>0</v>
      </c>
    </row>
    <row r="11" spans="1:10" ht="25.5">
      <c r="A11" s="92" t="s">
        <v>12</v>
      </c>
      <c r="B11" s="5"/>
      <c r="C11" s="6" t="s">
        <v>144</v>
      </c>
      <c r="D11" s="40">
        <v>70</v>
      </c>
      <c r="E11" s="5" t="s">
        <v>64</v>
      </c>
      <c r="F11" s="41">
        <v>54.89744468</v>
      </c>
      <c r="G11" s="43">
        <v>0</v>
      </c>
      <c r="H11" s="43">
        <f>488564577.61/1000000</f>
        <v>488.56457761</v>
      </c>
      <c r="I11" s="39">
        <v>0</v>
      </c>
      <c r="J11" s="39">
        <v>0</v>
      </c>
    </row>
    <row r="12" spans="1:10" ht="25.5">
      <c r="A12" s="92" t="s">
        <v>7</v>
      </c>
      <c r="B12" s="9" t="s">
        <v>103</v>
      </c>
      <c r="C12" s="120" t="s">
        <v>104</v>
      </c>
      <c r="D12" s="38">
        <f>10.05469595</f>
        <v>10.05469595</v>
      </c>
      <c r="E12" s="4" t="s">
        <v>105</v>
      </c>
      <c r="F12" s="42">
        <f>7.56798078*K6</f>
        <v>8.598739696176931</v>
      </c>
      <c r="G12" s="43">
        <v>0</v>
      </c>
      <c r="H12" s="43">
        <f>64477909.48/1000000</f>
        <v>64.47790948</v>
      </c>
      <c r="I12" s="39">
        <v>0</v>
      </c>
      <c r="J12" s="39">
        <v>0</v>
      </c>
    </row>
    <row r="13" spans="1:10" ht="51">
      <c r="A13" s="92" t="s">
        <v>9</v>
      </c>
      <c r="B13" s="120" t="s">
        <v>142</v>
      </c>
      <c r="C13" s="120" t="s">
        <v>143</v>
      </c>
      <c r="D13" s="38">
        <v>60</v>
      </c>
      <c r="E13" s="8" t="s">
        <v>132</v>
      </c>
      <c r="F13" s="39">
        <v>17.04189723</v>
      </c>
      <c r="G13" s="43">
        <v>0</v>
      </c>
      <c r="H13" s="43">
        <f>211672676.9/1000000</f>
        <v>211.6726769</v>
      </c>
      <c r="I13" s="39">
        <v>0</v>
      </c>
      <c r="J13" s="39">
        <v>0</v>
      </c>
    </row>
    <row r="14" spans="1:10" ht="51">
      <c r="A14" s="92" t="s">
        <v>6</v>
      </c>
      <c r="B14" s="120" t="s">
        <v>79</v>
      </c>
      <c r="C14" s="120" t="s">
        <v>282</v>
      </c>
      <c r="D14" s="38">
        <v>60.9161</v>
      </c>
      <c r="E14" s="4" t="s">
        <v>80</v>
      </c>
      <c r="F14" s="39">
        <v>78.34178513</v>
      </c>
      <c r="G14" s="43">
        <v>0</v>
      </c>
      <c r="H14" s="43">
        <f>577046325.96/1000000</f>
        <v>577.04632596</v>
      </c>
      <c r="I14" s="39">
        <v>0</v>
      </c>
      <c r="J14" s="39">
        <v>0</v>
      </c>
    </row>
    <row r="15" spans="1:14" ht="38.25">
      <c r="A15" s="103" t="s">
        <v>22</v>
      </c>
      <c r="B15" s="120" t="s">
        <v>96</v>
      </c>
      <c r="C15" s="120" t="s">
        <v>97</v>
      </c>
      <c r="D15" s="38">
        <v>85</v>
      </c>
      <c r="E15" s="4" t="s">
        <v>349</v>
      </c>
      <c r="F15" s="39">
        <f>172075.82/1000000+83336746.16/1000000</f>
        <v>83.50882198</v>
      </c>
      <c r="G15" s="43">
        <f>1102055285.71/1000000</f>
        <v>1102.0552857100001</v>
      </c>
      <c r="H15" s="52">
        <v>0</v>
      </c>
      <c r="I15" s="39">
        <f>17000/1000000</f>
        <v>0.017</v>
      </c>
      <c r="J15" s="39">
        <f>10000/1000000+10000/1000000</f>
        <v>0.02</v>
      </c>
      <c r="N15" s="35">
        <v>7</v>
      </c>
    </row>
    <row r="16" spans="1:10" ht="51" hidden="1">
      <c r="A16" s="93" t="s">
        <v>341</v>
      </c>
      <c r="B16" s="150" t="s">
        <v>339</v>
      </c>
      <c r="C16" s="150" t="s">
        <v>340</v>
      </c>
      <c r="D16" s="143">
        <v>65.4</v>
      </c>
      <c r="E16" s="4" t="s">
        <v>98</v>
      </c>
      <c r="F16" s="39">
        <v>0</v>
      </c>
      <c r="G16" s="43">
        <v>0</v>
      </c>
      <c r="H16" s="43">
        <v>0</v>
      </c>
      <c r="I16" s="39">
        <v>0</v>
      </c>
      <c r="J16" s="39">
        <v>0</v>
      </c>
    </row>
    <row r="17" spans="1:10" ht="36.75" customHeight="1">
      <c r="A17" s="93" t="s">
        <v>347</v>
      </c>
      <c r="B17" s="150"/>
      <c r="C17" s="150" t="s">
        <v>348</v>
      </c>
      <c r="D17" s="143">
        <f>31.4475829/K8</f>
        <v>1.2018315294793145</v>
      </c>
      <c r="E17" s="4" t="s">
        <v>349</v>
      </c>
      <c r="F17" s="39">
        <v>0</v>
      </c>
      <c r="G17" s="43">
        <v>0</v>
      </c>
      <c r="H17" s="43">
        <v>0</v>
      </c>
      <c r="I17" s="39">
        <v>0</v>
      </c>
      <c r="J17" s="39">
        <v>0</v>
      </c>
    </row>
    <row r="18" spans="1:10" ht="28.5">
      <c r="A18" s="93" t="s">
        <v>342</v>
      </c>
      <c r="B18" s="150"/>
      <c r="C18" s="150" t="s">
        <v>343</v>
      </c>
      <c r="D18" s="143">
        <f>101.905584*K7</f>
        <v>0</v>
      </c>
      <c r="E18" s="29" t="s">
        <v>345</v>
      </c>
      <c r="F18" s="39">
        <f>133.12980464*K6</f>
        <v>151.26208286991024</v>
      </c>
      <c r="G18" s="43">
        <v>0</v>
      </c>
      <c r="H18" s="43">
        <f>749334187/1000000</f>
        <v>749.334187</v>
      </c>
      <c r="I18" s="39">
        <v>0</v>
      </c>
      <c r="J18" s="39">
        <v>0</v>
      </c>
    </row>
    <row r="19" spans="1:10" ht="38.25">
      <c r="A19" s="92" t="s">
        <v>3</v>
      </c>
      <c r="B19" s="149"/>
      <c r="C19" s="150" t="s">
        <v>85</v>
      </c>
      <c r="D19" s="143">
        <f>(212.5/1.95583)*K6</f>
        <v>123.44758907734264</v>
      </c>
      <c r="E19" s="29" t="s">
        <v>86</v>
      </c>
      <c r="F19" s="39">
        <f>170.33755291*K6</f>
        <v>193.53752612950683</v>
      </c>
      <c r="G19" s="43">
        <v>0</v>
      </c>
      <c r="H19" s="43">
        <f>249480699.81/1000000</f>
        <v>249.48069981</v>
      </c>
      <c r="I19" s="39">
        <v>0</v>
      </c>
      <c r="J19" s="39">
        <v>0</v>
      </c>
    </row>
    <row r="20" spans="1:10" ht="60">
      <c r="A20" s="94" t="s">
        <v>302</v>
      </c>
      <c r="B20" s="175" t="s">
        <v>106</v>
      </c>
      <c r="C20" s="175" t="s">
        <v>107</v>
      </c>
      <c r="D20" s="177">
        <f>4.00923188*K6</f>
        <v>4.5552892270603875</v>
      </c>
      <c r="E20" s="179" t="s">
        <v>77</v>
      </c>
      <c r="F20" s="199">
        <f>3.06132518*K6</f>
        <v>3.478277642794435</v>
      </c>
      <c r="G20" s="43">
        <v>0</v>
      </c>
      <c r="H20" s="43">
        <f>34020783.75/1000000</f>
        <v>34.02078375</v>
      </c>
      <c r="I20" s="199">
        <v>0</v>
      </c>
      <c r="J20" s="199">
        <v>0</v>
      </c>
    </row>
    <row r="21" spans="1:10" ht="30">
      <c r="A21" s="95" t="s">
        <v>52</v>
      </c>
      <c r="B21" s="195"/>
      <c r="C21" s="195"/>
      <c r="D21" s="204"/>
      <c r="E21" s="205"/>
      <c r="F21" s="200"/>
      <c r="G21" s="194">
        <v>0</v>
      </c>
      <c r="H21" s="194">
        <f>30344556/1000000</f>
        <v>30.344556</v>
      </c>
      <c r="I21" s="200"/>
      <c r="J21" s="200"/>
    </row>
    <row r="22" spans="1:10" ht="30">
      <c r="A22" s="95" t="s">
        <v>51</v>
      </c>
      <c r="B22" s="195"/>
      <c r="C22" s="195"/>
      <c r="D22" s="204"/>
      <c r="E22" s="205"/>
      <c r="F22" s="200"/>
      <c r="G22" s="194"/>
      <c r="H22" s="194"/>
      <c r="I22" s="200"/>
      <c r="J22" s="200"/>
    </row>
    <row r="23" spans="1:10" ht="30">
      <c r="A23" s="96" t="s">
        <v>53</v>
      </c>
      <c r="B23" s="176"/>
      <c r="C23" s="176"/>
      <c r="D23" s="178"/>
      <c r="E23" s="180"/>
      <c r="F23" s="201"/>
      <c r="G23" s="194"/>
      <c r="H23" s="194"/>
      <c r="I23" s="201"/>
      <c r="J23" s="201"/>
    </row>
    <row r="24" spans="1:10" ht="51">
      <c r="A24" s="97" t="s">
        <v>4</v>
      </c>
      <c r="B24" s="9" t="s">
        <v>109</v>
      </c>
      <c r="C24" s="9" t="s">
        <v>120</v>
      </c>
      <c r="D24" s="38">
        <v>3.97236679</v>
      </c>
      <c r="E24" s="8" t="s">
        <v>108</v>
      </c>
      <c r="F24" s="39">
        <f>(666790.04+5155314.26)/1000000</f>
        <v>5.8221042999999995</v>
      </c>
      <c r="G24" s="43">
        <f>51211920.15/1000000</f>
        <v>51.21192015</v>
      </c>
      <c r="H24" s="38">
        <f>105121056.19/1000000</f>
        <v>105.12105619</v>
      </c>
      <c r="I24" s="39">
        <v>0</v>
      </c>
      <c r="J24" s="39">
        <v>0</v>
      </c>
    </row>
    <row r="25" spans="1:10" ht="104.25">
      <c r="A25" s="94" t="s">
        <v>283</v>
      </c>
      <c r="B25" s="2"/>
      <c r="C25" s="120" t="s">
        <v>168</v>
      </c>
      <c r="D25" s="38">
        <f>8.264188/K8</f>
        <v>0.3158322766976344</v>
      </c>
      <c r="E25" s="19" t="s">
        <v>170</v>
      </c>
      <c r="F25" s="39">
        <f>8.05722071/K8</f>
        <v>0.3079226126867673</v>
      </c>
      <c r="G25" s="46">
        <v>0</v>
      </c>
      <c r="H25" s="47">
        <f>11329562.38/1000000</f>
        <v>11.32956238</v>
      </c>
      <c r="I25" s="39">
        <v>0</v>
      </c>
      <c r="J25" s="39">
        <v>0</v>
      </c>
    </row>
    <row r="26" spans="1:10" ht="38.25">
      <c r="A26" s="98" t="s">
        <v>10</v>
      </c>
      <c r="B26" s="9" t="s">
        <v>111</v>
      </c>
      <c r="C26" s="9" t="s">
        <v>169</v>
      </c>
      <c r="D26" s="38">
        <f>(11.65592102+9.7393434)*K6</f>
        <v>24.309299247249925</v>
      </c>
      <c r="E26" s="4" t="s">
        <v>112</v>
      </c>
      <c r="F26" s="39">
        <f>0.83953336*K6+15.20928932*K6</f>
        <v>18.23467218892972</v>
      </c>
      <c r="G26" s="43">
        <f>458.63711936</f>
        <v>458.63711936</v>
      </c>
      <c r="H26" s="43">
        <f>48924204.39/1000000</f>
        <v>48.92420439</v>
      </c>
      <c r="I26" s="39">
        <v>0</v>
      </c>
      <c r="J26" s="39">
        <v>0</v>
      </c>
    </row>
    <row r="27" spans="1:10" ht="51">
      <c r="A27" s="183" t="s">
        <v>5</v>
      </c>
      <c r="B27" s="120" t="s">
        <v>109</v>
      </c>
      <c r="C27" s="120" t="s">
        <v>114</v>
      </c>
      <c r="D27" s="38">
        <v>6.027</v>
      </c>
      <c r="E27" s="3"/>
      <c r="F27" s="39">
        <f>0.98485677+6.79191348</f>
        <v>7.77677025</v>
      </c>
      <c r="G27" s="43">
        <v>0</v>
      </c>
      <c r="H27" s="65">
        <f>(357947.15+880341.73)/1000000</f>
        <v>1.2382888799999998</v>
      </c>
      <c r="I27" s="39">
        <v>0</v>
      </c>
      <c r="J27" s="39">
        <v>0</v>
      </c>
    </row>
    <row r="28" spans="1:10" ht="25.5">
      <c r="A28" s="184"/>
      <c r="B28" s="120" t="s">
        <v>116</v>
      </c>
      <c r="C28" s="120" t="s">
        <v>117</v>
      </c>
      <c r="D28" s="38">
        <v>0.607</v>
      </c>
      <c r="E28" s="3"/>
      <c r="F28" s="39">
        <v>0</v>
      </c>
      <c r="G28" s="43">
        <v>0</v>
      </c>
      <c r="H28" s="125"/>
      <c r="I28" s="39">
        <v>0</v>
      </c>
      <c r="J28" s="39">
        <v>0</v>
      </c>
    </row>
    <row r="29" spans="1:10" ht="25.5">
      <c r="A29" s="185"/>
      <c r="B29" s="120" t="s">
        <v>115</v>
      </c>
      <c r="C29" s="2"/>
      <c r="D29" s="38">
        <v>1.007</v>
      </c>
      <c r="E29" s="3"/>
      <c r="F29" s="39">
        <v>1.00689792</v>
      </c>
      <c r="G29" s="43">
        <v>0</v>
      </c>
      <c r="H29" s="125">
        <v>0</v>
      </c>
      <c r="I29" s="39">
        <v>0</v>
      </c>
      <c r="J29" s="39">
        <v>0</v>
      </c>
    </row>
    <row r="30" spans="1:10" ht="72" customHeight="1">
      <c r="A30" s="98" t="s">
        <v>329</v>
      </c>
      <c r="B30" s="120" t="s">
        <v>129</v>
      </c>
      <c r="C30" s="120" t="s">
        <v>306</v>
      </c>
      <c r="D30" s="38">
        <f>39.23986236*K6</f>
        <v>44.584331270916756</v>
      </c>
      <c r="E30" s="4" t="s">
        <v>130</v>
      </c>
      <c r="F30" s="39">
        <f>29.43848711*K6</f>
        <v>33.44800879742059</v>
      </c>
      <c r="G30" s="43">
        <v>0</v>
      </c>
      <c r="H30" s="43">
        <f>337819841.94/1000000</f>
        <v>337.81984194</v>
      </c>
      <c r="I30" s="39">
        <v>0</v>
      </c>
      <c r="J30" s="39">
        <v>0</v>
      </c>
    </row>
    <row r="31" spans="1:10" ht="51">
      <c r="A31" s="103" t="s">
        <v>19</v>
      </c>
      <c r="B31" s="2"/>
      <c r="C31" s="120" t="s">
        <v>308</v>
      </c>
      <c r="D31" s="38"/>
      <c r="E31" s="19" t="s">
        <v>108</v>
      </c>
      <c r="F31" s="39">
        <f>77.60729091/K8</f>
        <v>2.9659159951880243</v>
      </c>
      <c r="G31" s="43">
        <v>0</v>
      </c>
      <c r="H31" s="43">
        <f>63088365.31/1000000</f>
        <v>63.08836531</v>
      </c>
      <c r="I31" s="39">
        <v>0</v>
      </c>
      <c r="J31" s="39">
        <v>0</v>
      </c>
    </row>
    <row r="32" spans="1:10" ht="15">
      <c r="A32" s="98" t="s">
        <v>23</v>
      </c>
      <c r="B32" s="45"/>
      <c r="C32" s="131" t="s">
        <v>171</v>
      </c>
      <c r="D32" s="38">
        <f>372313538/1000000</f>
        <v>372.313538</v>
      </c>
      <c r="E32" s="44"/>
      <c r="F32" s="39">
        <f>61780890.53/1000000</f>
        <v>61.78089053</v>
      </c>
      <c r="G32" s="43">
        <f>758434262.2/1000000</f>
        <v>758.4342622</v>
      </c>
      <c r="H32" s="38">
        <v>0</v>
      </c>
      <c r="I32" s="39">
        <v>0</v>
      </c>
      <c r="J32" s="39">
        <v>0</v>
      </c>
    </row>
    <row r="33" spans="1:10" ht="30" hidden="1">
      <c r="A33" s="98" t="s">
        <v>356</v>
      </c>
      <c r="B33" s="45"/>
      <c r="C33" s="132" t="s">
        <v>357</v>
      </c>
      <c r="D33" s="38">
        <f>292433560/1000000</f>
        <v>292.43356</v>
      </c>
      <c r="E33" s="4" t="s">
        <v>70</v>
      </c>
      <c r="F33" s="39">
        <v>0</v>
      </c>
      <c r="G33" s="43">
        <v>0</v>
      </c>
      <c r="H33" s="38">
        <v>0</v>
      </c>
      <c r="I33" s="39">
        <v>0</v>
      </c>
      <c r="J33" s="39">
        <v>0</v>
      </c>
    </row>
    <row r="34" spans="1:10" ht="28.5">
      <c r="A34" s="103" t="s">
        <v>45</v>
      </c>
      <c r="B34" s="120" t="s">
        <v>69</v>
      </c>
      <c r="C34" s="120" t="s">
        <v>90</v>
      </c>
      <c r="D34" s="38">
        <v>107.8</v>
      </c>
      <c r="E34" s="4" t="s">
        <v>307</v>
      </c>
      <c r="F34" s="39">
        <f>13.4429922+3.36074805+3.36074805+3.36074805+3.36074805+3.36074805+3.36074805+3.36074805+3.36074805+3.36074805+3.36074805</f>
        <v>47.0504727</v>
      </c>
      <c r="G34" s="43">
        <v>0</v>
      </c>
      <c r="H34" s="38">
        <v>0</v>
      </c>
      <c r="I34" s="39">
        <v>0</v>
      </c>
      <c r="J34" s="39">
        <v>0</v>
      </c>
    </row>
    <row r="35" spans="1:10" ht="28.5">
      <c r="A35" s="98" t="s">
        <v>330</v>
      </c>
      <c r="B35" s="5" t="s">
        <v>78</v>
      </c>
      <c r="C35" s="5" t="s">
        <v>89</v>
      </c>
      <c r="D35" s="38">
        <f>4.09479198*K6</f>
        <v>4.652502611933555</v>
      </c>
      <c r="E35" s="8" t="s">
        <v>77</v>
      </c>
      <c r="F35" s="39">
        <f>3.99062006*K6</f>
        <v>4.534142477338846</v>
      </c>
      <c r="G35" s="43">
        <v>0</v>
      </c>
      <c r="H35" s="43">
        <f>9021661.38/1000000</f>
        <v>9.021661380000001</v>
      </c>
      <c r="I35" s="39">
        <v>0</v>
      </c>
      <c r="J35" s="39">
        <v>0</v>
      </c>
    </row>
    <row r="36" spans="1:10" ht="54" customHeight="1">
      <c r="A36" s="94" t="s">
        <v>361</v>
      </c>
      <c r="B36" s="209" t="s">
        <v>360</v>
      </c>
      <c r="C36" s="210"/>
      <c r="D36" s="43">
        <f>4.04310139*K6</f>
        <v>4.593771764026749</v>
      </c>
      <c r="E36" s="8" t="s">
        <v>77</v>
      </c>
      <c r="F36" s="146">
        <f>3.64389715*K6</f>
        <v>4.140195910023306</v>
      </c>
      <c r="G36" s="47">
        <v>0</v>
      </c>
      <c r="H36" s="47">
        <f>38176712.89/1000000</f>
        <v>38.17671289</v>
      </c>
      <c r="I36" s="145">
        <v>0</v>
      </c>
      <c r="J36" s="145">
        <v>0</v>
      </c>
    </row>
    <row r="37" spans="1:10" ht="15">
      <c r="A37" s="93" t="s">
        <v>206</v>
      </c>
      <c r="B37" s="120"/>
      <c r="C37" s="120" t="s">
        <v>207</v>
      </c>
      <c r="D37" s="43"/>
      <c r="E37" s="8"/>
      <c r="F37" s="146">
        <v>0</v>
      </c>
      <c r="G37" s="48">
        <v>0</v>
      </c>
      <c r="H37" s="48">
        <v>0</v>
      </c>
      <c r="I37" s="145">
        <f>354.97711353+383.96246049</f>
        <v>738.93957402</v>
      </c>
      <c r="J37" s="145">
        <f>363261533.01/1000000</f>
        <v>363.26153301</v>
      </c>
    </row>
    <row r="38" spans="1:10" ht="28.5">
      <c r="A38" s="103" t="s">
        <v>20</v>
      </c>
      <c r="B38" s="120" t="s">
        <v>338</v>
      </c>
      <c r="C38" s="120" t="s">
        <v>337</v>
      </c>
      <c r="D38" s="38"/>
      <c r="E38" s="2"/>
      <c r="F38" s="39">
        <v>0</v>
      </c>
      <c r="G38" s="43">
        <v>0</v>
      </c>
      <c r="H38" s="38">
        <v>0</v>
      </c>
      <c r="I38" s="39">
        <f>17.65075+17.65075+17.65075+17.65075</f>
        <v>70.603</v>
      </c>
      <c r="J38" s="39">
        <f>5000000/1000000+17650750/1000000+12650750/1000000</f>
        <v>35.3015</v>
      </c>
    </row>
    <row r="39" spans="1:10" ht="38.25">
      <c r="A39" s="98" t="s">
        <v>49</v>
      </c>
      <c r="B39" s="120" t="s">
        <v>173</v>
      </c>
      <c r="C39" s="120" t="s">
        <v>309</v>
      </c>
      <c r="D39" s="38">
        <f>5.7420837*K6</f>
        <v>6.524155449818744</v>
      </c>
      <c r="E39" s="4" t="s">
        <v>172</v>
      </c>
      <c r="F39" s="39">
        <f>6.94654091*K6</f>
        <v>7.89265972130733</v>
      </c>
      <c r="G39" s="43">
        <v>0</v>
      </c>
      <c r="H39" s="43">
        <f>105184060.66/1000000</f>
        <v>105.18406066</v>
      </c>
      <c r="I39" s="39">
        <v>0</v>
      </c>
      <c r="J39" s="39">
        <v>0</v>
      </c>
    </row>
    <row r="40" spans="1:10" ht="25.5">
      <c r="A40" s="188" t="s">
        <v>14</v>
      </c>
      <c r="B40" s="5" t="s">
        <v>152</v>
      </c>
      <c r="C40" s="5" t="s">
        <v>153</v>
      </c>
      <c r="D40" s="38">
        <v>82.238588</v>
      </c>
      <c r="E40" s="8" t="s">
        <v>77</v>
      </c>
      <c r="F40" s="39">
        <v>75.71603226</v>
      </c>
      <c r="G40" s="43">
        <v>0</v>
      </c>
      <c r="H40" s="186">
        <f>(90886115.89+6415859.85)/1000000</f>
        <v>97.30197573999999</v>
      </c>
      <c r="I40" s="39">
        <v>0</v>
      </c>
      <c r="J40" s="39">
        <v>0</v>
      </c>
    </row>
    <row r="41" spans="1:10" ht="25.5">
      <c r="A41" s="190"/>
      <c r="B41" s="5" t="s">
        <v>152</v>
      </c>
      <c r="C41" s="5" t="s">
        <v>154</v>
      </c>
      <c r="D41" s="38">
        <v>13.4445</v>
      </c>
      <c r="E41" s="8" t="s">
        <v>77</v>
      </c>
      <c r="F41" s="39">
        <v>16.70219829</v>
      </c>
      <c r="G41" s="43">
        <v>0</v>
      </c>
      <c r="H41" s="187"/>
      <c r="I41" s="39">
        <v>0</v>
      </c>
      <c r="J41" s="39">
        <v>0</v>
      </c>
    </row>
    <row r="42" spans="1:10" ht="38.25">
      <c r="A42" s="190"/>
      <c r="B42" s="11" t="s">
        <v>151</v>
      </c>
      <c r="C42" s="12" t="s">
        <v>325</v>
      </c>
      <c r="D42" s="38">
        <f>27.64938569*K6</f>
        <v>31.41523177963322</v>
      </c>
      <c r="E42" s="8" t="s">
        <v>77</v>
      </c>
      <c r="F42" s="39">
        <f>35.30425976*K6</f>
        <v>40.11269963114968</v>
      </c>
      <c r="G42" s="43">
        <v>0</v>
      </c>
      <c r="H42" s="186">
        <f>102899937.6/1000000</f>
        <v>102.89993759999999</v>
      </c>
      <c r="I42" s="39">
        <v>0</v>
      </c>
      <c r="J42" s="39">
        <v>0</v>
      </c>
    </row>
    <row r="43" spans="1:10" ht="76.5">
      <c r="A43" s="190"/>
      <c r="B43" s="11" t="s">
        <v>155</v>
      </c>
      <c r="C43" s="12" t="s">
        <v>324</v>
      </c>
      <c r="D43" s="38">
        <f>(259.13228873/1.95583)*K6</f>
        <v>150.53767668617576</v>
      </c>
      <c r="E43" s="8" t="s">
        <v>77</v>
      </c>
      <c r="F43" s="39">
        <f>194.11881183*K6</f>
        <v>220.55779230682998</v>
      </c>
      <c r="G43" s="43">
        <v>0</v>
      </c>
      <c r="H43" s="187"/>
      <c r="I43" s="39">
        <v>0</v>
      </c>
      <c r="J43" s="39">
        <v>0</v>
      </c>
    </row>
    <row r="44" spans="1:10" ht="25.5">
      <c r="A44" s="189"/>
      <c r="B44" s="11" t="s">
        <v>326</v>
      </c>
      <c r="C44" s="12"/>
      <c r="D44" s="38">
        <v>3</v>
      </c>
      <c r="E44" s="8" t="s">
        <v>149</v>
      </c>
      <c r="F44" s="39">
        <v>2.55</v>
      </c>
      <c r="G44" s="43">
        <v>0</v>
      </c>
      <c r="H44" s="43">
        <v>0</v>
      </c>
      <c r="I44" s="39">
        <v>0</v>
      </c>
      <c r="J44" s="39">
        <v>0</v>
      </c>
    </row>
    <row r="45" spans="1:10" ht="25.5">
      <c r="A45" s="92" t="s">
        <v>11</v>
      </c>
      <c r="B45" s="9" t="s">
        <v>127</v>
      </c>
      <c r="C45" s="120" t="s">
        <v>128</v>
      </c>
      <c r="D45" s="38">
        <f>171.476378+28.103729</f>
        <v>199.580107</v>
      </c>
      <c r="E45" s="8" t="s">
        <v>77</v>
      </c>
      <c r="F45" s="39">
        <v>152.33522121</v>
      </c>
      <c r="G45" s="43">
        <v>0</v>
      </c>
      <c r="H45" s="43">
        <f>1153205511.23/1000000</f>
        <v>1153.20551123</v>
      </c>
      <c r="I45" s="39">
        <v>0</v>
      </c>
      <c r="J45" s="39">
        <v>0</v>
      </c>
    </row>
    <row r="46" spans="1:10" ht="38.25">
      <c r="A46" s="92" t="s">
        <v>351</v>
      </c>
      <c r="B46" s="120" t="s">
        <v>352</v>
      </c>
      <c r="C46" s="120" t="s">
        <v>353</v>
      </c>
      <c r="D46" s="38">
        <f>39.4968802+19.99940604</f>
        <v>59.49628624</v>
      </c>
      <c r="E46" s="8" t="s">
        <v>108</v>
      </c>
      <c r="F46" s="39">
        <f>26581056.07/1000000</f>
        <v>26.58105607</v>
      </c>
      <c r="G46" s="43">
        <v>0</v>
      </c>
      <c r="H46" s="43">
        <f>278495295.4/1000000</f>
        <v>278.4952954</v>
      </c>
      <c r="I46" s="39">
        <v>0</v>
      </c>
      <c r="J46" s="39">
        <v>0</v>
      </c>
    </row>
    <row r="47" spans="1:10" ht="42.75">
      <c r="A47" s="98" t="s">
        <v>354</v>
      </c>
      <c r="B47" s="2"/>
      <c r="C47" s="120" t="s">
        <v>355</v>
      </c>
      <c r="D47" s="38"/>
      <c r="E47" s="8" t="s">
        <v>108</v>
      </c>
      <c r="F47" s="39">
        <f>71.3356952</f>
        <v>71.3356952</v>
      </c>
      <c r="G47" s="43">
        <v>0</v>
      </c>
      <c r="H47" s="43">
        <f>290125389.39/1000000</f>
        <v>290.12538939</v>
      </c>
      <c r="I47" s="39">
        <v>0</v>
      </c>
      <c r="J47" s="39">
        <v>0</v>
      </c>
    </row>
    <row r="48" spans="1:10" ht="25.5">
      <c r="A48" s="92" t="s">
        <v>317</v>
      </c>
      <c r="B48" s="11" t="s">
        <v>318</v>
      </c>
      <c r="C48" s="5"/>
      <c r="D48" s="117">
        <v>16.9449426</v>
      </c>
      <c r="E48" s="5" t="s">
        <v>149</v>
      </c>
      <c r="F48" s="63">
        <v>16.88251672</v>
      </c>
      <c r="G48" s="43">
        <v>0</v>
      </c>
      <c r="H48" s="43">
        <v>0</v>
      </c>
      <c r="I48" s="39">
        <v>0</v>
      </c>
      <c r="J48" s="39">
        <v>0</v>
      </c>
    </row>
    <row r="49" spans="1:10" ht="28.5">
      <c r="A49" s="93" t="s">
        <v>95</v>
      </c>
      <c r="B49" s="120" t="s">
        <v>93</v>
      </c>
      <c r="C49" s="120" t="s">
        <v>94</v>
      </c>
      <c r="D49" s="38">
        <f>2.77353707*K6</f>
        <v>3.1512927947244678</v>
      </c>
      <c r="E49" s="8" t="s">
        <v>77</v>
      </c>
      <c r="F49" s="146">
        <f>2.28872099*K6</f>
        <v>2.6004447688603096</v>
      </c>
      <c r="G49" s="51">
        <v>0</v>
      </c>
      <c r="H49" s="43">
        <f>7018311.34/1000000</f>
        <v>7.0183113399999995</v>
      </c>
      <c r="I49" s="39">
        <v>0</v>
      </c>
      <c r="J49" s="39">
        <v>0</v>
      </c>
    </row>
    <row r="50" spans="1:10" ht="25.5">
      <c r="A50" s="98" t="s">
        <v>8</v>
      </c>
      <c r="B50" s="5" t="s">
        <v>159</v>
      </c>
      <c r="C50" s="6" t="s">
        <v>160</v>
      </c>
      <c r="D50" s="43">
        <f>(530.895519+609.517811)*K9</f>
        <v>10.586089793321563</v>
      </c>
      <c r="E50" s="8" t="s">
        <v>161</v>
      </c>
      <c r="F50" s="39">
        <f>0*K9</f>
        <v>0</v>
      </c>
      <c r="G50" s="44">
        <v>0</v>
      </c>
      <c r="H50" s="43">
        <f>(7496393.98+90812.47)/1000000</f>
        <v>7.58720645</v>
      </c>
      <c r="I50" s="39">
        <v>0</v>
      </c>
      <c r="J50" s="39">
        <v>0</v>
      </c>
    </row>
    <row r="51" spans="1:10" ht="28.5">
      <c r="A51" s="103" t="s">
        <v>18</v>
      </c>
      <c r="B51" s="9" t="s">
        <v>121</v>
      </c>
      <c r="C51" s="2"/>
      <c r="D51" s="38"/>
      <c r="E51" s="2"/>
      <c r="F51" s="39">
        <f>0.14794233/K8</f>
        <v>0.005653908515132127</v>
      </c>
      <c r="G51" s="43">
        <v>0</v>
      </c>
      <c r="H51" s="43">
        <f>356170.23/1000000</f>
        <v>0.35617023</v>
      </c>
      <c r="I51" s="39">
        <f>18139.06/1000000</f>
        <v>0.018139060000000002</v>
      </c>
      <c r="J51" s="39">
        <v>0</v>
      </c>
    </row>
    <row r="52" spans="1:10" ht="75">
      <c r="A52" s="98" t="s">
        <v>344</v>
      </c>
      <c r="B52" s="175" t="s">
        <v>81</v>
      </c>
      <c r="C52" s="175" t="s">
        <v>82</v>
      </c>
      <c r="D52" s="177">
        <f>1.2782297*K6</f>
        <v>1.4523245739826431</v>
      </c>
      <c r="E52" s="179" t="s">
        <v>83</v>
      </c>
      <c r="F52" s="199">
        <f>1.35346146*K6</f>
        <v>1.537802899037963</v>
      </c>
      <c r="G52" s="43">
        <v>0</v>
      </c>
      <c r="H52" s="43">
        <f>22431935.78/1000000</f>
        <v>22.43193578</v>
      </c>
      <c r="I52" s="50">
        <f>11159.36/1000000+7330.73/1000000+20011.82/1000000+32668.63/1000000</f>
        <v>0.07117054</v>
      </c>
      <c r="J52" s="50">
        <f>3273.03/1000000+45.55/1000000+4661.35/1000000</f>
        <v>0.007979930000000001</v>
      </c>
    </row>
    <row r="53" spans="1:10" ht="74.25">
      <c r="A53" s="109" t="s">
        <v>310</v>
      </c>
      <c r="B53" s="176"/>
      <c r="C53" s="176"/>
      <c r="D53" s="178"/>
      <c r="E53" s="180"/>
      <c r="F53" s="201"/>
      <c r="G53" s="51">
        <v>0</v>
      </c>
      <c r="H53" s="51">
        <f>17306991.63/1000000</f>
        <v>17.30699163</v>
      </c>
      <c r="I53" s="148">
        <v>0</v>
      </c>
      <c r="J53" s="148">
        <v>0</v>
      </c>
    </row>
    <row r="54" spans="1:10" ht="25.5">
      <c r="A54" s="92" t="s">
        <v>16</v>
      </c>
      <c r="B54" s="120" t="s">
        <v>67</v>
      </c>
      <c r="C54" s="120" t="s">
        <v>68</v>
      </c>
      <c r="D54" s="43">
        <f>1.18324139*K6</f>
        <v>1.3443988569897731</v>
      </c>
      <c r="E54" s="4" t="s">
        <v>64</v>
      </c>
      <c r="F54" s="39">
        <f>1.04163781*K6</f>
        <v>1.1835088706297965</v>
      </c>
      <c r="G54" s="44">
        <v>0</v>
      </c>
      <c r="H54" s="43">
        <f>6145495.89/1000000</f>
        <v>6.145495889999999</v>
      </c>
      <c r="I54" s="39">
        <v>0</v>
      </c>
      <c r="J54" s="39">
        <v>0</v>
      </c>
    </row>
    <row r="55" spans="1:10" ht="25.5">
      <c r="A55" s="188" t="s">
        <v>17</v>
      </c>
      <c r="B55" s="2"/>
      <c r="C55" s="120" t="s">
        <v>162</v>
      </c>
      <c r="D55" s="38"/>
      <c r="E55" s="3"/>
      <c r="F55" s="39">
        <f>16.03330225*K6</f>
        <v>18.21703787649919</v>
      </c>
      <c r="G55" s="43">
        <v>0</v>
      </c>
      <c r="H55" s="186">
        <f>9697340.87/1000000</f>
        <v>9.69734087</v>
      </c>
      <c r="I55" s="39">
        <v>0</v>
      </c>
      <c r="J55" s="39">
        <v>0</v>
      </c>
    </row>
    <row r="56" spans="1:10" ht="25.5">
      <c r="A56" s="189"/>
      <c r="B56" s="2"/>
      <c r="C56" s="120" t="s">
        <v>163</v>
      </c>
      <c r="D56" s="38"/>
      <c r="E56" s="3"/>
      <c r="F56" s="39">
        <f>6.87613923/K8</f>
        <v>0.2627852497911251</v>
      </c>
      <c r="G56" s="43">
        <v>0</v>
      </c>
      <c r="H56" s="187"/>
      <c r="I56" s="39">
        <v>0</v>
      </c>
      <c r="J56" s="39">
        <v>0</v>
      </c>
    </row>
    <row r="57" spans="1:10" ht="57" customHeight="1">
      <c r="A57" s="92" t="s">
        <v>2</v>
      </c>
      <c r="B57" s="120" t="s">
        <v>137</v>
      </c>
      <c r="C57" s="120" t="s">
        <v>138</v>
      </c>
      <c r="D57" s="43">
        <f>68.12651969*K6</f>
        <v>77.40535107711813</v>
      </c>
      <c r="E57" s="4" t="s">
        <v>105</v>
      </c>
      <c r="F57" s="39">
        <f>96.2540915*K6</f>
        <v>109.36389792212138</v>
      </c>
      <c r="G57" s="43">
        <v>0</v>
      </c>
      <c r="H57" s="43">
        <f>523288471.27/1000000</f>
        <v>523.28847127</v>
      </c>
      <c r="I57" s="39">
        <v>0</v>
      </c>
      <c r="J57" s="39">
        <v>0</v>
      </c>
    </row>
    <row r="58" spans="1:10" ht="25.5">
      <c r="A58" s="188" t="s">
        <v>13</v>
      </c>
      <c r="B58" s="10" t="s">
        <v>147</v>
      </c>
      <c r="C58" s="10" t="s">
        <v>148</v>
      </c>
      <c r="D58" s="53">
        <v>66.3</v>
      </c>
      <c r="E58" s="8" t="s">
        <v>77</v>
      </c>
      <c r="F58" s="39">
        <v>51.22389627</v>
      </c>
      <c r="G58" s="43">
        <v>0</v>
      </c>
      <c r="H58" s="186">
        <f>510334581.41/1000000</f>
        <v>510.33458141</v>
      </c>
      <c r="I58" s="39">
        <v>0</v>
      </c>
      <c r="J58" s="39">
        <v>0</v>
      </c>
    </row>
    <row r="59" spans="1:10" ht="25.5">
      <c r="A59" s="190"/>
      <c r="B59" s="10" t="s">
        <v>147</v>
      </c>
      <c r="C59" s="10" t="s">
        <v>335</v>
      </c>
      <c r="D59" s="53">
        <v>10.842</v>
      </c>
      <c r="E59" s="8" t="s">
        <v>77</v>
      </c>
      <c r="F59" s="39">
        <v>3.21644088</v>
      </c>
      <c r="G59" s="43">
        <v>0</v>
      </c>
      <c r="H59" s="187"/>
      <c r="I59" s="39">
        <v>0</v>
      </c>
      <c r="J59" s="39">
        <v>0</v>
      </c>
    </row>
    <row r="60" spans="1:10" ht="25.5">
      <c r="A60" s="190"/>
      <c r="B60" s="10" t="s">
        <v>326</v>
      </c>
      <c r="C60" s="10"/>
      <c r="D60" s="53">
        <v>3</v>
      </c>
      <c r="E60" s="8" t="s">
        <v>149</v>
      </c>
      <c r="F60" s="39">
        <v>1.56397179</v>
      </c>
      <c r="G60" s="43">
        <v>0</v>
      </c>
      <c r="H60" s="43">
        <v>0</v>
      </c>
      <c r="I60" s="39">
        <v>0</v>
      </c>
      <c r="J60" s="39">
        <v>0</v>
      </c>
    </row>
    <row r="61" spans="1:10" ht="38.25">
      <c r="A61" s="189"/>
      <c r="B61" s="2"/>
      <c r="C61" s="120" t="s">
        <v>150</v>
      </c>
      <c r="D61" s="53">
        <f>99172.94/1000000</f>
        <v>0.09917294</v>
      </c>
      <c r="E61" s="8" t="s">
        <v>77</v>
      </c>
      <c r="F61" s="39">
        <f>4061.92/1000000+99172.94/1000000</f>
        <v>0.10323486</v>
      </c>
      <c r="G61" s="43">
        <f>3362115.9/1000000</f>
        <v>3.3621159</v>
      </c>
      <c r="H61" s="43">
        <v>0</v>
      </c>
      <c r="I61" s="39">
        <v>0</v>
      </c>
      <c r="J61" s="39">
        <v>0</v>
      </c>
    </row>
    <row r="62" spans="1:10" ht="28.5">
      <c r="A62" s="101" t="s">
        <v>284</v>
      </c>
      <c r="B62" s="13"/>
      <c r="C62" s="120" t="s">
        <v>175</v>
      </c>
      <c r="D62" s="53">
        <v>0.108</v>
      </c>
      <c r="E62" s="8" t="s">
        <v>77</v>
      </c>
      <c r="F62" s="39">
        <f>1110.12/1000000+38488.55/1000000</f>
        <v>0.03959867</v>
      </c>
      <c r="G62" s="43">
        <f>1182645.64/1000000</f>
        <v>1.1826456399999998</v>
      </c>
      <c r="H62" s="43">
        <v>0</v>
      </c>
      <c r="I62" s="39">
        <v>0</v>
      </c>
      <c r="J62" s="39">
        <v>0</v>
      </c>
    </row>
    <row r="63" spans="1:10" ht="28.5">
      <c r="A63" s="101" t="s">
        <v>174</v>
      </c>
      <c r="B63" s="13"/>
      <c r="C63" s="120" t="s">
        <v>176</v>
      </c>
      <c r="D63" s="53">
        <v>0.086</v>
      </c>
      <c r="E63" s="8" t="s">
        <v>77</v>
      </c>
      <c r="F63" s="39">
        <f>2451.37/1000000+85712.19/1000000</f>
        <v>0.08816356</v>
      </c>
      <c r="G63" s="43">
        <f>2853267.68/1000000</f>
        <v>2.85326768</v>
      </c>
      <c r="H63" s="43">
        <v>0</v>
      </c>
      <c r="I63" s="39">
        <v>0</v>
      </c>
      <c r="J63" s="39">
        <v>0</v>
      </c>
    </row>
    <row r="64" spans="1:10" ht="28.5">
      <c r="A64" s="101" t="s">
        <v>285</v>
      </c>
      <c r="B64" s="13"/>
      <c r="C64" s="120" t="s">
        <v>181</v>
      </c>
      <c r="D64" s="53">
        <v>0.203</v>
      </c>
      <c r="E64" s="8" t="s">
        <v>77</v>
      </c>
      <c r="F64" s="39">
        <f>93860.11/1000000</f>
        <v>0.09386011</v>
      </c>
      <c r="G64" s="43">
        <f>2623415.62/1000000</f>
        <v>2.6234156200000003</v>
      </c>
      <c r="H64" s="43">
        <v>0</v>
      </c>
      <c r="I64" s="39">
        <v>0</v>
      </c>
      <c r="J64" s="39">
        <v>0</v>
      </c>
    </row>
    <row r="65" spans="1:10" ht="28.5">
      <c r="A65" s="101" t="s">
        <v>286</v>
      </c>
      <c r="B65" s="13"/>
      <c r="C65" s="120" t="s">
        <v>182</v>
      </c>
      <c r="D65" s="53">
        <v>1.045</v>
      </c>
      <c r="E65" s="8" t="s">
        <v>77</v>
      </c>
      <c r="F65" s="39">
        <f>31654.15/1000000+1045116.74/1000000</f>
        <v>1.0767708900000001</v>
      </c>
      <c r="G65" s="43">
        <f>34886314.7/1000000</f>
        <v>34.8863147</v>
      </c>
      <c r="H65" s="43">
        <v>0</v>
      </c>
      <c r="I65" s="39">
        <v>0</v>
      </c>
      <c r="J65" s="39">
        <v>0</v>
      </c>
    </row>
    <row r="66" spans="1:10" ht="28.5">
      <c r="A66" s="101" t="s">
        <v>287</v>
      </c>
      <c r="B66" s="13"/>
      <c r="C66" s="120" t="s">
        <v>183</v>
      </c>
      <c r="D66" s="53">
        <v>0.047</v>
      </c>
      <c r="E66" s="8" t="s">
        <v>77</v>
      </c>
      <c r="F66" s="39">
        <f>-366.71/1000000+9267.46/1000000</f>
        <v>0.00890075</v>
      </c>
      <c r="G66" s="43">
        <f>903341.13/1000000</f>
        <v>0.90334113</v>
      </c>
      <c r="H66" s="43">
        <v>0</v>
      </c>
      <c r="I66" s="39">
        <v>0</v>
      </c>
      <c r="J66" s="39">
        <v>0</v>
      </c>
    </row>
    <row r="67" spans="1:10" ht="28.5">
      <c r="A67" s="101" t="s">
        <v>288</v>
      </c>
      <c r="B67" s="13"/>
      <c r="C67" s="120" t="s">
        <v>184</v>
      </c>
      <c r="D67" s="53">
        <v>0.17</v>
      </c>
      <c r="E67" s="8" t="s">
        <v>77</v>
      </c>
      <c r="F67" s="39">
        <f>3294.1/1000000+169537.28/1000000</f>
        <v>0.17283138</v>
      </c>
      <c r="G67" s="43">
        <f>5666129.09/1000000</f>
        <v>5.66612909</v>
      </c>
      <c r="H67" s="43">
        <v>0</v>
      </c>
      <c r="I67" s="39">
        <v>0</v>
      </c>
      <c r="J67" s="39">
        <v>0</v>
      </c>
    </row>
    <row r="68" spans="1:10" ht="28.5">
      <c r="A68" s="102" t="s">
        <v>290</v>
      </c>
      <c r="B68" s="13"/>
      <c r="C68" s="120" t="s">
        <v>179</v>
      </c>
      <c r="D68" s="53">
        <v>0.207</v>
      </c>
      <c r="E68" s="8" t="s">
        <v>77</v>
      </c>
      <c r="F68" s="39">
        <f>7726.59/1000000+206787/1000000</f>
        <v>0.21451359</v>
      </c>
      <c r="G68" s="43">
        <f>7026381.99/1000000</f>
        <v>7.02638199</v>
      </c>
      <c r="H68" s="43">
        <v>0</v>
      </c>
      <c r="I68" s="39">
        <v>0</v>
      </c>
      <c r="J68" s="39">
        <v>0</v>
      </c>
    </row>
    <row r="69" spans="1:10" ht="28.5">
      <c r="A69" s="101" t="s">
        <v>291</v>
      </c>
      <c r="B69" s="13"/>
      <c r="C69" s="120" t="s">
        <v>186</v>
      </c>
      <c r="D69" s="53">
        <v>0.165</v>
      </c>
      <c r="E69" s="8" t="s">
        <v>77</v>
      </c>
      <c r="F69" s="39">
        <f>5767.56/1000000+165054.97/1000000</f>
        <v>0.17082253</v>
      </c>
      <c r="G69" s="43">
        <f>5600660.2/1000000</f>
        <v>5.6006602</v>
      </c>
      <c r="H69" s="43">
        <v>0</v>
      </c>
      <c r="I69" s="39">
        <v>0</v>
      </c>
      <c r="J69" s="39">
        <v>0</v>
      </c>
    </row>
    <row r="70" spans="1:10" ht="28.5">
      <c r="A70" s="101" t="s">
        <v>292</v>
      </c>
      <c r="B70" s="13"/>
      <c r="C70" s="120" t="s">
        <v>187</v>
      </c>
      <c r="D70" s="53">
        <v>0.591</v>
      </c>
      <c r="E70" s="8" t="s">
        <v>77</v>
      </c>
      <c r="F70" s="39">
        <f>13510.24/1000000+590726.82/1000000</f>
        <v>0.60423706</v>
      </c>
      <c r="G70" s="43">
        <f>19811660.06/1000000</f>
        <v>19.811660059999998</v>
      </c>
      <c r="H70" s="43">
        <v>0</v>
      </c>
      <c r="I70" s="39">
        <v>0</v>
      </c>
      <c r="J70" s="39">
        <v>0</v>
      </c>
    </row>
    <row r="71" spans="1:10" ht="28.5">
      <c r="A71" s="101" t="s">
        <v>293</v>
      </c>
      <c r="B71" s="13"/>
      <c r="C71" s="120" t="s">
        <v>178</v>
      </c>
      <c r="D71" s="53">
        <v>0.111</v>
      </c>
      <c r="E71" s="8" t="s">
        <v>77</v>
      </c>
      <c r="F71" s="39">
        <f>3820.82/1000000+90056/1000000</f>
        <v>0.09387682</v>
      </c>
      <c r="G71" s="43">
        <f>3344486.68/1000000</f>
        <v>3.34448668</v>
      </c>
      <c r="H71" s="43">
        <v>0</v>
      </c>
      <c r="I71" s="39">
        <f>594546.04/1000000</f>
        <v>0.59454604</v>
      </c>
      <c r="J71" s="39">
        <v>0</v>
      </c>
    </row>
    <row r="72" spans="1:10" ht="28.5">
      <c r="A72" s="101" t="s">
        <v>295</v>
      </c>
      <c r="B72" s="13"/>
      <c r="C72" s="120" t="s">
        <v>177</v>
      </c>
      <c r="D72" s="53">
        <v>0.53</v>
      </c>
      <c r="E72" s="8" t="s">
        <v>77</v>
      </c>
      <c r="F72" s="39">
        <f>17420.4/1000000+530005.02/1000000</f>
        <v>0.54742542</v>
      </c>
      <c r="G72" s="43">
        <f>17910474.6/1000000</f>
        <v>17.9104746</v>
      </c>
      <c r="H72" s="43">
        <v>0</v>
      </c>
      <c r="I72" s="39">
        <v>0</v>
      </c>
      <c r="J72" s="39">
        <v>0</v>
      </c>
    </row>
    <row r="73" spans="1:11" s="75" customFormat="1" ht="28.5">
      <c r="A73" s="93" t="s">
        <v>196</v>
      </c>
      <c r="B73" s="2"/>
      <c r="C73" s="120" t="s">
        <v>195</v>
      </c>
      <c r="D73" s="43">
        <f>254088.34/1000000</f>
        <v>0.25408834</v>
      </c>
      <c r="E73" s="8" t="s">
        <v>77</v>
      </c>
      <c r="F73" s="153">
        <f>51910.68/1000000</f>
        <v>0.05191068</v>
      </c>
      <c r="G73" s="51">
        <f>204474.5/1000000</f>
        <v>0.2044745</v>
      </c>
      <c r="H73" s="80">
        <v>0</v>
      </c>
      <c r="I73" s="139">
        <v>0</v>
      </c>
      <c r="J73" s="153">
        <v>0</v>
      </c>
      <c r="K73" s="35"/>
    </row>
    <row r="74" spans="1:10" ht="28.5">
      <c r="A74" s="93" t="s">
        <v>193</v>
      </c>
      <c r="B74" s="2"/>
      <c r="C74" s="120" t="s">
        <v>194</v>
      </c>
      <c r="D74" s="43">
        <f>877965.54/1000000</f>
        <v>0.87796554</v>
      </c>
      <c r="E74" s="8" t="s">
        <v>77</v>
      </c>
      <c r="F74" s="153">
        <f>914667.26/1000000</f>
        <v>0.91466726</v>
      </c>
      <c r="G74" s="43">
        <f>4813125.97/1000000</f>
        <v>4.81312597</v>
      </c>
      <c r="H74" s="80">
        <v>0</v>
      </c>
      <c r="I74" s="139">
        <v>0</v>
      </c>
      <c r="J74" s="153">
        <v>0</v>
      </c>
    </row>
    <row r="75" spans="1:10" ht="28.5">
      <c r="A75" s="101" t="s">
        <v>296</v>
      </c>
      <c r="B75" s="13"/>
      <c r="C75" s="120" t="s">
        <v>188</v>
      </c>
      <c r="D75" s="53">
        <v>0.275</v>
      </c>
      <c r="E75" s="8" t="s">
        <v>77</v>
      </c>
      <c r="F75" s="39">
        <f>287598.55/1000000</f>
        <v>0.28759855</v>
      </c>
      <c r="G75" s="43">
        <f>1211906.95/1000000</f>
        <v>1.21190695</v>
      </c>
      <c r="H75" s="43">
        <v>0</v>
      </c>
      <c r="I75" s="140">
        <v>0</v>
      </c>
      <c r="J75" s="39">
        <v>0</v>
      </c>
    </row>
    <row r="76" spans="1:10" ht="28.5">
      <c r="A76" s="101" t="s">
        <v>190</v>
      </c>
      <c r="B76" s="13"/>
      <c r="C76" s="120" t="s">
        <v>192</v>
      </c>
      <c r="D76" s="53">
        <f>301054.42/1000000</f>
        <v>0.30105442</v>
      </c>
      <c r="E76" s="8" t="s">
        <v>77</v>
      </c>
      <c r="F76" s="146">
        <f>287454.42/1000000</f>
        <v>0.28745442</v>
      </c>
      <c r="G76" s="43">
        <f>349697.79/1000000</f>
        <v>0.34969778999999995</v>
      </c>
      <c r="H76" s="43">
        <v>0</v>
      </c>
      <c r="I76" s="141">
        <v>0</v>
      </c>
      <c r="J76" s="146">
        <v>0</v>
      </c>
    </row>
    <row r="77" spans="1:10" ht="28.5">
      <c r="A77" s="101" t="s">
        <v>197</v>
      </c>
      <c r="B77" s="13"/>
      <c r="C77" s="120" t="s">
        <v>180</v>
      </c>
      <c r="D77" s="53">
        <f>103746.47/1000000</f>
        <v>0.10374647000000001</v>
      </c>
      <c r="E77" s="8" t="s">
        <v>77</v>
      </c>
      <c r="F77" s="146">
        <f>101112.25/1000000</f>
        <v>0.10111225</v>
      </c>
      <c r="G77" s="43">
        <f>131037.96/1000000</f>
        <v>0.13103796</v>
      </c>
      <c r="H77" s="43">
        <v>0</v>
      </c>
      <c r="I77" s="141">
        <v>0</v>
      </c>
      <c r="J77" s="146">
        <v>0</v>
      </c>
    </row>
    <row r="78" spans="1:10" ht="28.5">
      <c r="A78" s="101" t="s">
        <v>198</v>
      </c>
      <c r="B78" s="13"/>
      <c r="C78" s="120" t="s">
        <v>191</v>
      </c>
      <c r="D78" s="53">
        <f>758195.88/1000000</f>
        <v>0.75819588</v>
      </c>
      <c r="E78" s="8" t="s">
        <v>77</v>
      </c>
      <c r="F78" s="146">
        <f>698712.41/1000000</f>
        <v>0.6987124100000001</v>
      </c>
      <c r="G78" s="43">
        <v>0</v>
      </c>
      <c r="H78" s="43">
        <v>0</v>
      </c>
      <c r="I78" s="141">
        <v>0</v>
      </c>
      <c r="J78" s="146">
        <v>0</v>
      </c>
    </row>
    <row r="79" spans="1:10" ht="28.5">
      <c r="A79" s="101" t="s">
        <v>199</v>
      </c>
      <c r="B79" s="13"/>
      <c r="C79" s="120" t="s">
        <v>203</v>
      </c>
      <c r="D79" s="53">
        <f>90490/1000000</f>
        <v>0.09049</v>
      </c>
      <c r="E79" s="8" t="s">
        <v>77</v>
      </c>
      <c r="F79" s="146">
        <f>1719.65/1000000</f>
        <v>0.00171965</v>
      </c>
      <c r="G79" s="43">
        <f>597.47/1000000</f>
        <v>0.00059747</v>
      </c>
      <c r="H79" s="43">
        <v>0</v>
      </c>
      <c r="I79" s="141">
        <v>0</v>
      </c>
      <c r="J79" s="146">
        <v>0</v>
      </c>
    </row>
    <row r="80" spans="1:10" ht="28.5">
      <c r="A80" s="101" t="s">
        <v>200</v>
      </c>
      <c r="B80" s="13"/>
      <c r="C80" s="120" t="s">
        <v>204</v>
      </c>
      <c r="D80" s="53">
        <f>349360.36/1000000</f>
        <v>0.34936036</v>
      </c>
      <c r="E80" s="8" t="s">
        <v>77</v>
      </c>
      <c r="F80" s="146">
        <f>360035/1000000</f>
        <v>0.360035</v>
      </c>
      <c r="G80" s="43">
        <f>1251832.7/1000000</f>
        <v>1.2518327</v>
      </c>
      <c r="H80" s="43">
        <v>0</v>
      </c>
      <c r="I80" s="141">
        <v>0</v>
      </c>
      <c r="J80" s="146">
        <v>0</v>
      </c>
    </row>
    <row r="81" spans="1:10" ht="28.5">
      <c r="A81" s="101" t="s">
        <v>201</v>
      </c>
      <c r="B81" s="13"/>
      <c r="C81" s="120" t="s">
        <v>202</v>
      </c>
      <c r="D81" s="53">
        <f>199992.16/1000000</f>
        <v>0.19999216</v>
      </c>
      <c r="E81" s="8" t="s">
        <v>77</v>
      </c>
      <c r="F81" s="146">
        <f>182205.58/1000000</f>
        <v>0.18220557999999998</v>
      </c>
      <c r="G81" s="43">
        <v>0</v>
      </c>
      <c r="H81" s="43">
        <v>0</v>
      </c>
      <c r="I81" s="141">
        <v>0</v>
      </c>
      <c r="J81" s="146">
        <v>0</v>
      </c>
    </row>
    <row r="82" spans="1:10" ht="28.5">
      <c r="A82" s="101" t="s">
        <v>289</v>
      </c>
      <c r="B82" s="13"/>
      <c r="C82" s="120" t="s">
        <v>185</v>
      </c>
      <c r="D82" s="53">
        <v>0.135</v>
      </c>
      <c r="E82" s="8" t="s">
        <v>77</v>
      </c>
      <c r="F82" s="39">
        <f>140053.54/1000000</f>
        <v>0.14005354</v>
      </c>
      <c r="G82" s="43">
        <f>709442.07/1000000</f>
        <v>0.7094420699999999</v>
      </c>
      <c r="H82" s="43">
        <v>0</v>
      </c>
      <c r="I82" s="140">
        <v>0</v>
      </c>
      <c r="J82" s="39">
        <v>0</v>
      </c>
    </row>
    <row r="83" spans="1:10" ht="28.5">
      <c r="A83" s="101" t="s">
        <v>294</v>
      </c>
      <c r="B83" s="13"/>
      <c r="C83" s="120" t="s">
        <v>189</v>
      </c>
      <c r="D83" s="53">
        <v>0.379</v>
      </c>
      <c r="E83" s="8" t="s">
        <v>77</v>
      </c>
      <c r="F83" s="39">
        <f>394026.06/1000000</f>
        <v>0.39402606</v>
      </c>
      <c r="G83" s="43">
        <f>2018198.46/1000000</f>
        <v>2.01819846</v>
      </c>
      <c r="H83" s="43">
        <v>0</v>
      </c>
      <c r="I83" s="140">
        <v>0</v>
      </c>
      <c r="J83" s="39">
        <v>0</v>
      </c>
    </row>
    <row r="84" spans="1:10" ht="51">
      <c r="A84" s="92" t="s">
        <v>1</v>
      </c>
      <c r="B84" s="14" t="s">
        <v>135</v>
      </c>
      <c r="C84" s="120" t="s">
        <v>320</v>
      </c>
      <c r="D84" s="43">
        <f>(113.022936/6.55957)*K6</f>
        <v>19.576993445706076</v>
      </c>
      <c r="E84" s="4" t="s">
        <v>136</v>
      </c>
      <c r="F84" s="39">
        <f>(19405179.41*K6)/1000000</f>
        <v>22.048164676258896</v>
      </c>
      <c r="G84" s="44">
        <v>0</v>
      </c>
      <c r="H84" s="43">
        <f>209077934.62/1000000</f>
        <v>209.07793462</v>
      </c>
      <c r="I84" s="39">
        <v>0</v>
      </c>
      <c r="J84" s="39">
        <v>0</v>
      </c>
    </row>
    <row r="85" spans="1:10" ht="28.5">
      <c r="A85" s="103" t="s">
        <v>21</v>
      </c>
      <c r="B85" s="13"/>
      <c r="C85" s="120" t="s">
        <v>113</v>
      </c>
      <c r="D85" s="38">
        <f>300/K8</f>
        <v>11.465092881392621</v>
      </c>
      <c r="E85" s="2"/>
      <c r="F85" s="39">
        <f>2129.0538496/K8</f>
        <v>81.36600045050172</v>
      </c>
      <c r="G85" s="43">
        <f>9635453.26/1000000</f>
        <v>9.63545326</v>
      </c>
      <c r="H85" s="38">
        <v>0</v>
      </c>
      <c r="I85" s="39">
        <v>0</v>
      </c>
      <c r="J85" s="39">
        <v>0</v>
      </c>
    </row>
    <row r="86" spans="1:10" ht="51">
      <c r="A86" s="171" t="s">
        <v>273</v>
      </c>
      <c r="B86" s="202" t="s">
        <v>268</v>
      </c>
      <c r="C86" s="16" t="s">
        <v>269</v>
      </c>
      <c r="D86" s="54">
        <v>4.015</v>
      </c>
      <c r="E86" s="181" t="s">
        <v>271</v>
      </c>
      <c r="F86" s="39">
        <v>0.985</v>
      </c>
      <c r="G86" s="43">
        <v>12.054</v>
      </c>
      <c r="H86" s="130">
        <v>0</v>
      </c>
      <c r="I86" s="39">
        <v>0</v>
      </c>
      <c r="J86" s="39">
        <v>0</v>
      </c>
    </row>
    <row r="87" spans="1:10" ht="25.5">
      <c r="A87" s="172"/>
      <c r="B87" s="203"/>
      <c r="C87" s="16" t="s">
        <v>270</v>
      </c>
      <c r="D87" s="54">
        <v>7.71968128</v>
      </c>
      <c r="E87" s="182"/>
      <c r="F87" s="39">
        <v>1.479</v>
      </c>
      <c r="G87" s="43">
        <v>14.193</v>
      </c>
      <c r="H87" s="55">
        <v>0</v>
      </c>
      <c r="I87" s="39">
        <v>0</v>
      </c>
      <c r="J87" s="39">
        <v>0</v>
      </c>
    </row>
    <row r="88" spans="1:10" ht="15">
      <c r="A88" s="104" t="s">
        <v>274</v>
      </c>
      <c r="B88" s="120"/>
      <c r="C88" s="19" t="s">
        <v>272</v>
      </c>
      <c r="D88" s="43"/>
      <c r="E88" s="3"/>
      <c r="F88" s="39">
        <v>1.261</v>
      </c>
      <c r="G88" s="43">
        <v>0.191</v>
      </c>
      <c r="H88" s="118">
        <v>0</v>
      </c>
      <c r="I88" s="39">
        <v>0</v>
      </c>
      <c r="J88" s="39">
        <v>0</v>
      </c>
    </row>
    <row r="89" spans="1:10" ht="25.5">
      <c r="A89" s="106" t="s">
        <v>241</v>
      </c>
      <c r="B89" s="16" t="s">
        <v>242</v>
      </c>
      <c r="C89" s="16" t="s">
        <v>243</v>
      </c>
      <c r="D89" s="40">
        <v>24.25</v>
      </c>
      <c r="E89" s="5" t="s">
        <v>244</v>
      </c>
      <c r="F89" s="39">
        <v>0</v>
      </c>
      <c r="G89" s="43">
        <v>0</v>
      </c>
      <c r="H89" s="43">
        <f>18061004.63/1000000</f>
        <v>18.06100463</v>
      </c>
      <c r="I89" s="39">
        <f>25.45601646+28.002897</f>
        <v>53.458913460000005</v>
      </c>
      <c r="J89" s="39">
        <f>27702010.98/1000000</f>
        <v>27.70201098</v>
      </c>
    </row>
    <row r="90" spans="1:10" ht="28.5">
      <c r="A90" s="106" t="s">
        <v>210</v>
      </c>
      <c r="B90" s="16" t="s">
        <v>211</v>
      </c>
      <c r="C90" s="16" t="s">
        <v>212</v>
      </c>
      <c r="D90" s="40">
        <v>2.588</v>
      </c>
      <c r="E90" s="5" t="s">
        <v>213</v>
      </c>
      <c r="F90" s="41">
        <v>0</v>
      </c>
      <c r="G90" s="65">
        <v>0</v>
      </c>
      <c r="H90" s="56">
        <v>0</v>
      </c>
      <c r="I90" s="39">
        <v>0</v>
      </c>
      <c r="J90" s="39">
        <v>0</v>
      </c>
    </row>
    <row r="91" spans="1:10" ht="28.5">
      <c r="A91" s="106" t="s">
        <v>358</v>
      </c>
      <c r="B91" s="20"/>
      <c r="C91" s="16" t="s">
        <v>359</v>
      </c>
      <c r="D91" s="40"/>
      <c r="E91" s="5"/>
      <c r="F91" s="41">
        <v>-0.01</v>
      </c>
      <c r="G91" s="65">
        <v>0</v>
      </c>
      <c r="H91" s="56">
        <v>0</v>
      </c>
      <c r="I91" s="39">
        <v>0</v>
      </c>
      <c r="J91" s="39">
        <v>0</v>
      </c>
    </row>
    <row r="92" spans="1:10" ht="15">
      <c r="A92" s="106" t="s">
        <v>219</v>
      </c>
      <c r="B92" s="13"/>
      <c r="C92" s="19" t="s">
        <v>218</v>
      </c>
      <c r="D92" s="38"/>
      <c r="E92" s="3"/>
      <c r="F92" s="39">
        <v>1.661</v>
      </c>
      <c r="G92" s="43">
        <v>8.693</v>
      </c>
      <c r="H92" s="38">
        <v>0</v>
      </c>
      <c r="I92" s="39">
        <f>3000/1000000+19000/1000000+6000/1000000+12500/1000000+9000/1000000+15000/1000000+17000/1000000+5000/1000000</f>
        <v>0.08650000000000001</v>
      </c>
      <c r="J92" s="39">
        <f>11000/1000000+7000/1000000+10000/1000000+1000/1000000+7000/1000000</f>
        <v>0.036</v>
      </c>
    </row>
    <row r="93" spans="1:10" ht="15">
      <c r="A93" s="106" t="s">
        <v>220</v>
      </c>
      <c r="B93" s="17"/>
      <c r="C93" s="5" t="s">
        <v>217</v>
      </c>
      <c r="D93" s="57"/>
      <c r="E93" s="18"/>
      <c r="F93" s="58">
        <v>0.745</v>
      </c>
      <c r="G93" s="134">
        <v>0.147</v>
      </c>
      <c r="H93" s="38">
        <v>0</v>
      </c>
      <c r="I93" s="39">
        <f>0.2+0.2</f>
        <v>0.4</v>
      </c>
      <c r="J93" s="39">
        <v>0</v>
      </c>
    </row>
    <row r="94" spans="1:10" ht="15">
      <c r="A94" s="106" t="s">
        <v>222</v>
      </c>
      <c r="B94" s="13"/>
      <c r="C94" s="19" t="s">
        <v>221</v>
      </c>
      <c r="D94" s="38"/>
      <c r="E94" s="3"/>
      <c r="F94" s="39">
        <v>-0.003</v>
      </c>
      <c r="G94" s="43">
        <v>0</v>
      </c>
      <c r="H94" s="38">
        <v>0</v>
      </c>
      <c r="I94" s="39">
        <f>5.73336774+1.3094585+1.32248415+2.2555584+0.90289181</f>
        <v>11.5237606</v>
      </c>
      <c r="J94" s="39">
        <f>4408932.13/1000000+1492333.43/1000000</f>
        <v>5.901265560000001</v>
      </c>
    </row>
    <row r="95" spans="1:10" ht="28.5">
      <c r="A95" s="98" t="s">
        <v>25</v>
      </c>
      <c r="B95" s="13"/>
      <c r="C95" s="19" t="s">
        <v>224</v>
      </c>
      <c r="D95" s="38"/>
      <c r="E95" s="3"/>
      <c r="F95" s="39">
        <v>0.006</v>
      </c>
      <c r="G95" s="43">
        <v>0</v>
      </c>
      <c r="H95" s="38">
        <v>0</v>
      </c>
      <c r="I95" s="39">
        <v>0</v>
      </c>
      <c r="J95" s="39">
        <v>0</v>
      </c>
    </row>
    <row r="96" spans="1:10" ht="15">
      <c r="A96" s="106" t="s">
        <v>225</v>
      </c>
      <c r="B96" s="13"/>
      <c r="C96" s="19" t="s">
        <v>223</v>
      </c>
      <c r="D96" s="38"/>
      <c r="E96" s="3"/>
      <c r="F96" s="39">
        <v>0.039</v>
      </c>
      <c r="G96" s="43">
        <v>0</v>
      </c>
      <c r="H96" s="38">
        <v>0</v>
      </c>
      <c r="I96" s="39">
        <v>0</v>
      </c>
      <c r="J96" s="39">
        <v>0</v>
      </c>
    </row>
    <row r="97" spans="1:10" ht="28.5">
      <c r="A97" s="107" t="s">
        <v>280</v>
      </c>
      <c r="B97" s="16"/>
      <c r="C97" s="16" t="s">
        <v>281</v>
      </c>
      <c r="D97" s="54"/>
      <c r="E97" s="5"/>
      <c r="F97" s="41">
        <v>-0.002</v>
      </c>
      <c r="G97" s="126">
        <v>0</v>
      </c>
      <c r="H97" s="126">
        <v>0</v>
      </c>
      <c r="I97" s="60">
        <f>2.05046062+2.19076212</f>
        <v>4.2412227399999995</v>
      </c>
      <c r="J97" s="60">
        <f>2109507.16/1000000</f>
        <v>2.10950716</v>
      </c>
    </row>
    <row r="98" spans="1:10" ht="15">
      <c r="A98" s="106" t="s">
        <v>226</v>
      </c>
      <c r="B98" s="13"/>
      <c r="C98" s="19" t="s">
        <v>227</v>
      </c>
      <c r="D98" s="38"/>
      <c r="E98" s="3"/>
      <c r="F98" s="39">
        <v>2.291</v>
      </c>
      <c r="G98" s="43">
        <v>0.665</v>
      </c>
      <c r="H98" s="38">
        <v>0</v>
      </c>
      <c r="I98" s="39">
        <v>0</v>
      </c>
      <c r="J98" s="39">
        <v>0</v>
      </c>
    </row>
    <row r="99" spans="1:10" ht="15">
      <c r="A99" s="107" t="s">
        <v>228</v>
      </c>
      <c r="B99" s="16"/>
      <c r="C99" s="16" t="s">
        <v>229</v>
      </c>
      <c r="D99" s="38"/>
      <c r="E99" s="3"/>
      <c r="F99" s="39">
        <v>0</v>
      </c>
      <c r="G99" s="135">
        <v>0.809</v>
      </c>
      <c r="H99" s="61">
        <v>0</v>
      </c>
      <c r="I99" s="39">
        <f>4.47398149+4.66950631</f>
        <v>9.143487799999999</v>
      </c>
      <c r="J99" s="39">
        <f>4627319.15/1000000</f>
        <v>4.62731915</v>
      </c>
    </row>
    <row r="100" spans="1:10" ht="15">
      <c r="A100" s="173" t="s">
        <v>230</v>
      </c>
      <c r="B100" s="21"/>
      <c r="C100" s="16" t="s">
        <v>231</v>
      </c>
      <c r="D100" s="53"/>
      <c r="E100" s="3"/>
      <c r="F100" s="39">
        <v>0.572</v>
      </c>
      <c r="G100" s="135">
        <v>2.702</v>
      </c>
      <c r="H100" s="61">
        <v>0</v>
      </c>
      <c r="I100" s="199">
        <f>0.6879846+0.69201256+0.1879846+0.19201256+0.37999716+0.9379846+0.94201256+0.17759951+0.20239765+0.5+0.5+0.5+0.5</f>
        <v>6.3999858000000005</v>
      </c>
      <c r="J100" s="199">
        <f>900000/1000000+900000/1000000+500000/1000000+500000/1000000+500000/1000000+500000/1000000</f>
        <v>3.8</v>
      </c>
    </row>
    <row r="101" spans="1:11" ht="15">
      <c r="A101" s="174"/>
      <c r="B101" s="21"/>
      <c r="C101" s="16" t="s">
        <v>232</v>
      </c>
      <c r="D101" s="53"/>
      <c r="E101" s="3"/>
      <c r="F101" s="39">
        <v>0.853</v>
      </c>
      <c r="G101" s="135">
        <v>3.416</v>
      </c>
      <c r="H101" s="61">
        <v>0</v>
      </c>
      <c r="I101" s="201"/>
      <c r="J101" s="201"/>
      <c r="K101" s="119"/>
    </row>
    <row r="102" spans="1:11" ht="15">
      <c r="A102" s="171" t="s">
        <v>233</v>
      </c>
      <c r="B102" s="16"/>
      <c r="C102" s="156" t="s">
        <v>409</v>
      </c>
      <c r="D102" s="38"/>
      <c r="E102" s="19"/>
      <c r="F102" s="50">
        <f>0.04938222</f>
        <v>0.04938222</v>
      </c>
      <c r="G102" s="38">
        <v>0</v>
      </c>
      <c r="H102" s="38">
        <v>0</v>
      </c>
      <c r="I102" s="39">
        <v>0</v>
      </c>
      <c r="J102" s="39">
        <v>0</v>
      </c>
      <c r="K102" s="119"/>
    </row>
    <row r="103" spans="1:11" ht="15">
      <c r="A103" s="172"/>
      <c r="B103" s="16"/>
      <c r="C103" s="16" t="s">
        <v>234</v>
      </c>
      <c r="D103" s="53"/>
      <c r="E103" s="3"/>
      <c r="F103" s="39">
        <v>0.092</v>
      </c>
      <c r="G103" s="135">
        <v>1.195</v>
      </c>
      <c r="H103" s="61">
        <v>0</v>
      </c>
      <c r="I103" s="39">
        <f>1.9+0.1+0.4+0.4+0.2</f>
        <v>3</v>
      </c>
      <c r="J103" s="39">
        <f>4.9</f>
        <v>4.9</v>
      </c>
      <c r="K103" s="119"/>
    </row>
    <row r="104" spans="1:11" s="75" customFormat="1" ht="15">
      <c r="A104" s="183" t="s">
        <v>366</v>
      </c>
      <c r="B104" s="16"/>
      <c r="C104" s="16" t="s">
        <v>368</v>
      </c>
      <c r="D104" s="43"/>
      <c r="E104" s="8"/>
      <c r="F104" s="50">
        <v>0</v>
      </c>
      <c r="G104" s="43">
        <v>0</v>
      </c>
      <c r="H104" s="43">
        <v>0</v>
      </c>
      <c r="I104" s="39">
        <v>0</v>
      </c>
      <c r="J104" s="39">
        <v>1.67876586</v>
      </c>
      <c r="K104" s="119"/>
    </row>
    <row r="105" spans="1:11" s="75" customFormat="1" ht="15">
      <c r="A105" s="185"/>
      <c r="B105" s="16"/>
      <c r="C105" s="16" t="s">
        <v>369</v>
      </c>
      <c r="D105" s="43"/>
      <c r="E105" s="8"/>
      <c r="F105" s="50">
        <v>0</v>
      </c>
      <c r="G105" s="43">
        <v>0</v>
      </c>
      <c r="H105" s="43">
        <v>0</v>
      </c>
      <c r="I105" s="39">
        <v>0</v>
      </c>
      <c r="J105" s="39">
        <v>0</v>
      </c>
      <c r="K105" s="35"/>
    </row>
    <row r="106" spans="1:10" ht="15">
      <c r="A106" s="171" t="s">
        <v>367</v>
      </c>
      <c r="B106" s="16"/>
      <c r="C106" s="156" t="s">
        <v>370</v>
      </c>
      <c r="D106" s="38"/>
      <c r="E106" s="19"/>
      <c r="F106" s="50">
        <v>0</v>
      </c>
      <c r="G106" s="38">
        <v>0</v>
      </c>
      <c r="H106" s="38">
        <v>0</v>
      </c>
      <c r="I106" s="39">
        <v>0</v>
      </c>
      <c r="J106" s="39">
        <v>0.81661103</v>
      </c>
    </row>
    <row r="107" spans="1:10" ht="15">
      <c r="A107" s="172"/>
      <c r="B107" s="16"/>
      <c r="C107" s="156" t="s">
        <v>371</v>
      </c>
      <c r="D107" s="38"/>
      <c r="E107" s="19"/>
      <c r="F107" s="50">
        <v>0</v>
      </c>
      <c r="G107" s="38">
        <v>0</v>
      </c>
      <c r="H107" s="38">
        <v>0</v>
      </c>
      <c r="I107" s="39">
        <v>0</v>
      </c>
      <c r="J107" s="39">
        <v>0</v>
      </c>
    </row>
    <row r="108" spans="1:10" ht="15">
      <c r="A108" s="171" t="s">
        <v>372</v>
      </c>
      <c r="B108" s="16"/>
      <c r="C108" s="156" t="s">
        <v>373</v>
      </c>
      <c r="D108" s="38"/>
      <c r="E108" s="19"/>
      <c r="F108" s="50">
        <v>0</v>
      </c>
      <c r="G108" s="38">
        <v>0</v>
      </c>
      <c r="H108" s="38">
        <v>0</v>
      </c>
      <c r="I108" s="39">
        <v>0</v>
      </c>
      <c r="J108" s="39">
        <v>2.29564425</v>
      </c>
    </row>
    <row r="109" spans="1:10" ht="15">
      <c r="A109" s="172"/>
      <c r="B109" s="16"/>
      <c r="C109" s="156" t="s">
        <v>374</v>
      </c>
      <c r="D109" s="38"/>
      <c r="E109" s="19"/>
      <c r="F109" s="50">
        <v>0</v>
      </c>
      <c r="G109" s="38">
        <v>0</v>
      </c>
      <c r="H109" s="38">
        <v>0</v>
      </c>
      <c r="I109" s="39">
        <v>0</v>
      </c>
      <c r="J109" s="39">
        <v>0</v>
      </c>
    </row>
    <row r="110" spans="1:10" ht="15">
      <c r="A110" s="171" t="s">
        <v>375</v>
      </c>
      <c r="B110" s="16"/>
      <c r="C110" s="156" t="s">
        <v>376</v>
      </c>
      <c r="D110" s="38"/>
      <c r="E110" s="19"/>
      <c r="F110" s="50">
        <f>0.1443222+0.11376784+0.00040531</f>
        <v>0.25849535</v>
      </c>
      <c r="G110" s="38">
        <v>0.17508802</v>
      </c>
      <c r="H110" s="38">
        <v>0</v>
      </c>
      <c r="I110" s="39">
        <v>0</v>
      </c>
      <c r="J110" s="39">
        <v>0</v>
      </c>
    </row>
    <row r="111" spans="1:10" s="138" customFormat="1" ht="15">
      <c r="A111" s="172"/>
      <c r="B111" s="16"/>
      <c r="C111" s="156" t="s">
        <v>377</v>
      </c>
      <c r="D111" s="38"/>
      <c r="E111" s="19"/>
      <c r="F111" s="50">
        <f>0.0084311+0.00011238</f>
        <v>0.00854348</v>
      </c>
      <c r="G111" s="38">
        <v>0.00805158</v>
      </c>
      <c r="H111" s="38">
        <v>0</v>
      </c>
      <c r="I111" s="39">
        <v>0</v>
      </c>
      <c r="J111" s="39">
        <v>0</v>
      </c>
    </row>
    <row r="112" spans="1:10" ht="15">
      <c r="A112" s="171" t="s">
        <v>378</v>
      </c>
      <c r="B112" s="16"/>
      <c r="C112" s="156" t="s">
        <v>379</v>
      </c>
      <c r="D112" s="38"/>
      <c r="E112" s="19"/>
      <c r="F112" s="50">
        <v>0</v>
      </c>
      <c r="G112" s="38">
        <v>0</v>
      </c>
      <c r="H112" s="38">
        <v>0</v>
      </c>
      <c r="I112" s="39">
        <v>0</v>
      </c>
      <c r="J112" s="39">
        <v>13.483108</v>
      </c>
    </row>
    <row r="113" spans="1:10" ht="15">
      <c r="A113" s="172"/>
      <c r="B113" s="16"/>
      <c r="C113" s="156" t="s">
        <v>380</v>
      </c>
      <c r="D113" s="38"/>
      <c r="E113" s="19"/>
      <c r="F113" s="50">
        <v>0</v>
      </c>
      <c r="G113" s="38">
        <v>0</v>
      </c>
      <c r="H113" s="38">
        <v>0</v>
      </c>
      <c r="I113" s="39">
        <v>0</v>
      </c>
      <c r="J113" s="39">
        <v>0</v>
      </c>
    </row>
    <row r="114" spans="1:10" ht="15">
      <c r="A114" s="171" t="s">
        <v>381</v>
      </c>
      <c r="B114" s="16"/>
      <c r="C114" s="156" t="s">
        <v>382</v>
      </c>
      <c r="D114" s="38"/>
      <c r="E114" s="19"/>
      <c r="F114" s="50">
        <f>0.13169111+0.06597569+0.00017161</f>
        <v>0.19783841</v>
      </c>
      <c r="G114" s="38">
        <v>0.0409245</v>
      </c>
      <c r="H114" s="38">
        <v>0</v>
      </c>
      <c r="I114" s="39">
        <v>0</v>
      </c>
      <c r="J114" s="39">
        <v>0</v>
      </c>
    </row>
    <row r="115" spans="1:10" ht="15">
      <c r="A115" s="172"/>
      <c r="B115" s="16"/>
      <c r="C115" s="156" t="s">
        <v>383</v>
      </c>
      <c r="D115" s="38"/>
      <c r="E115" s="19"/>
      <c r="F115" s="50">
        <f>0.00002651+0.00000035</f>
        <v>2.6859999999999997E-05</v>
      </c>
      <c r="G115" s="38">
        <v>0</v>
      </c>
      <c r="H115" s="38">
        <v>0</v>
      </c>
      <c r="I115" s="39">
        <v>0</v>
      </c>
      <c r="J115" s="39">
        <v>0</v>
      </c>
    </row>
    <row r="116" spans="1:10" ht="15">
      <c r="A116" s="171" t="s">
        <v>384</v>
      </c>
      <c r="B116" s="16"/>
      <c r="C116" s="156" t="s">
        <v>385</v>
      </c>
      <c r="D116" s="38"/>
      <c r="E116" s="19"/>
      <c r="F116" s="50">
        <f>0.00002651+0.00000035</f>
        <v>2.6859999999999997E-05</v>
      </c>
      <c r="G116" s="38">
        <v>0</v>
      </c>
      <c r="H116" s="38">
        <v>0</v>
      </c>
      <c r="I116" s="39">
        <v>0</v>
      </c>
      <c r="J116" s="39">
        <v>0</v>
      </c>
    </row>
    <row r="117" spans="1:10" ht="15">
      <c r="A117" s="172"/>
      <c r="B117" s="16"/>
      <c r="C117" s="156" t="s">
        <v>386</v>
      </c>
      <c r="D117" s="38"/>
      <c r="E117" s="19"/>
      <c r="F117" s="50">
        <v>0.49609022</v>
      </c>
      <c r="G117" s="38">
        <v>0</v>
      </c>
      <c r="H117" s="38">
        <v>0</v>
      </c>
      <c r="I117" s="39">
        <v>0</v>
      </c>
      <c r="J117" s="39">
        <v>0</v>
      </c>
    </row>
    <row r="118" spans="1:10" ht="15" hidden="1">
      <c r="A118" s="171" t="s">
        <v>239</v>
      </c>
      <c r="B118" s="16"/>
      <c r="C118" s="156" t="s">
        <v>387</v>
      </c>
      <c r="D118" s="38"/>
      <c r="E118" s="19"/>
      <c r="F118" s="50">
        <f aca="true" t="shared" si="0" ref="F118:F130">0.00002651+0.00000035</f>
        <v>2.6859999999999997E-05</v>
      </c>
      <c r="G118" s="38">
        <v>0</v>
      </c>
      <c r="H118" s="38">
        <v>0</v>
      </c>
      <c r="I118" s="39">
        <v>0</v>
      </c>
      <c r="J118" s="39">
        <v>0</v>
      </c>
    </row>
    <row r="119" spans="1:10" ht="15" hidden="1">
      <c r="A119" s="172"/>
      <c r="B119" s="16"/>
      <c r="C119" s="156" t="s">
        <v>388</v>
      </c>
      <c r="D119" s="38"/>
      <c r="E119" s="19"/>
      <c r="F119" s="50">
        <f t="shared" si="0"/>
        <v>2.6859999999999997E-05</v>
      </c>
      <c r="G119" s="38">
        <v>0</v>
      </c>
      <c r="H119" s="38">
        <v>0</v>
      </c>
      <c r="I119" s="39">
        <v>0</v>
      </c>
      <c r="J119" s="39">
        <v>0</v>
      </c>
    </row>
    <row r="120" spans="1:11" s="71" customFormat="1" ht="15">
      <c r="A120" s="171" t="s">
        <v>389</v>
      </c>
      <c r="B120" s="16"/>
      <c r="C120" s="156" t="s">
        <v>390</v>
      </c>
      <c r="D120" s="38"/>
      <c r="E120" s="19"/>
      <c r="F120" s="50">
        <f t="shared" si="0"/>
        <v>2.6859999999999997E-05</v>
      </c>
      <c r="G120" s="38">
        <v>0</v>
      </c>
      <c r="H120" s="38">
        <v>0</v>
      </c>
      <c r="I120" s="39">
        <v>0</v>
      </c>
      <c r="J120" s="39">
        <v>0</v>
      </c>
      <c r="K120" s="223"/>
    </row>
    <row r="121" spans="1:12" s="72" customFormat="1" ht="15">
      <c r="A121" s="172"/>
      <c r="B121" s="16"/>
      <c r="C121" s="16" t="s">
        <v>391</v>
      </c>
      <c r="D121" s="43"/>
      <c r="E121" s="8"/>
      <c r="F121" s="50">
        <f t="shared" si="0"/>
        <v>2.6859999999999997E-05</v>
      </c>
      <c r="G121" s="43">
        <v>0</v>
      </c>
      <c r="H121" s="43">
        <v>0</v>
      </c>
      <c r="I121" s="39">
        <v>0</v>
      </c>
      <c r="J121" s="39">
        <v>12.62895635</v>
      </c>
      <c r="K121" s="224"/>
      <c r="L121" s="73"/>
    </row>
    <row r="122" spans="1:12" s="72" customFormat="1" ht="15">
      <c r="A122" s="102" t="s">
        <v>239</v>
      </c>
      <c r="B122" s="20"/>
      <c r="C122" s="16" t="s">
        <v>237</v>
      </c>
      <c r="D122" s="43"/>
      <c r="E122" s="3"/>
      <c r="F122" s="39">
        <v>0</v>
      </c>
      <c r="G122" s="135">
        <v>0</v>
      </c>
      <c r="H122" s="135">
        <v>0</v>
      </c>
      <c r="I122" s="39">
        <f>4.68490621+5.04995701</f>
        <v>9.734863220000001</v>
      </c>
      <c r="J122" s="39">
        <f>4837107.87/1000000+11256443.63/1000000</f>
        <v>16.093551500000004</v>
      </c>
      <c r="K122" s="224"/>
      <c r="L122" s="73"/>
    </row>
    <row r="123" spans="1:11" s="75" customFormat="1" ht="15">
      <c r="A123" s="171" t="s">
        <v>392</v>
      </c>
      <c r="B123" s="16"/>
      <c r="C123" s="156" t="s">
        <v>393</v>
      </c>
      <c r="D123" s="38"/>
      <c r="E123" s="19"/>
      <c r="F123" s="50">
        <f t="shared" si="0"/>
        <v>2.6859999999999997E-05</v>
      </c>
      <c r="G123" s="38">
        <v>0</v>
      </c>
      <c r="H123" s="38">
        <v>0</v>
      </c>
      <c r="I123" s="39">
        <v>0</v>
      </c>
      <c r="J123" s="39">
        <v>10.00322367</v>
      </c>
      <c r="K123" s="35"/>
    </row>
    <row r="124" spans="1:11" s="75" customFormat="1" ht="15">
      <c r="A124" s="172"/>
      <c r="B124" s="16"/>
      <c r="C124" s="156" t="s">
        <v>394</v>
      </c>
      <c r="D124" s="38"/>
      <c r="E124" s="19"/>
      <c r="F124" s="50">
        <f t="shared" si="0"/>
        <v>2.6859999999999997E-05</v>
      </c>
      <c r="G124" s="38">
        <v>0</v>
      </c>
      <c r="H124" s="38">
        <v>0</v>
      </c>
      <c r="I124" s="39">
        <v>0</v>
      </c>
      <c r="J124" s="39">
        <v>0</v>
      </c>
      <c r="K124" s="35"/>
    </row>
    <row r="125" spans="1:11" s="75" customFormat="1" ht="15">
      <c r="A125" s="171" t="s">
        <v>395</v>
      </c>
      <c r="B125" s="16"/>
      <c r="C125" s="156" t="s">
        <v>396</v>
      </c>
      <c r="D125" s="38"/>
      <c r="E125" s="19"/>
      <c r="F125" s="50">
        <f t="shared" si="0"/>
        <v>2.6859999999999997E-05</v>
      </c>
      <c r="G125" s="38">
        <v>0</v>
      </c>
      <c r="H125" s="38">
        <v>0</v>
      </c>
      <c r="I125" s="39">
        <v>0</v>
      </c>
      <c r="J125" s="39">
        <v>0</v>
      </c>
      <c r="K125" s="35"/>
    </row>
    <row r="126" spans="1:11" s="75" customFormat="1" ht="15">
      <c r="A126" s="172"/>
      <c r="B126" s="16"/>
      <c r="C126" s="156" t="s">
        <v>397</v>
      </c>
      <c r="D126" s="38"/>
      <c r="E126" s="19"/>
      <c r="F126" s="50">
        <f t="shared" si="0"/>
        <v>2.6859999999999997E-05</v>
      </c>
      <c r="G126" s="38">
        <v>0</v>
      </c>
      <c r="H126" s="38">
        <v>0</v>
      </c>
      <c r="I126" s="39">
        <v>0</v>
      </c>
      <c r="J126" s="39">
        <v>2.55351986</v>
      </c>
      <c r="K126" s="35"/>
    </row>
    <row r="127" spans="1:11" s="75" customFormat="1" ht="15">
      <c r="A127" s="171" t="s">
        <v>398</v>
      </c>
      <c r="B127" s="16"/>
      <c r="C127" s="156" t="s">
        <v>399</v>
      </c>
      <c r="D127" s="38"/>
      <c r="E127" s="19"/>
      <c r="F127" s="50">
        <f t="shared" si="0"/>
        <v>2.6859999999999997E-05</v>
      </c>
      <c r="G127" s="38">
        <v>0</v>
      </c>
      <c r="H127" s="38">
        <v>0</v>
      </c>
      <c r="I127" s="39">
        <v>0</v>
      </c>
      <c r="J127" s="39">
        <v>1.37516821</v>
      </c>
      <c r="K127" s="35"/>
    </row>
    <row r="128" spans="1:11" s="75" customFormat="1" ht="15">
      <c r="A128" s="172"/>
      <c r="B128" s="16"/>
      <c r="C128" s="156" t="s">
        <v>400</v>
      </c>
      <c r="D128" s="38"/>
      <c r="E128" s="19"/>
      <c r="F128" s="50">
        <f t="shared" si="0"/>
        <v>2.6859999999999997E-05</v>
      </c>
      <c r="G128" s="38">
        <v>0</v>
      </c>
      <c r="H128" s="38">
        <v>0</v>
      </c>
      <c r="I128" s="39">
        <v>0</v>
      </c>
      <c r="J128" s="39">
        <v>0</v>
      </c>
      <c r="K128" s="35"/>
    </row>
    <row r="129" spans="1:11" s="75" customFormat="1" ht="15">
      <c r="A129" s="171" t="s">
        <v>401</v>
      </c>
      <c r="B129" s="16"/>
      <c r="C129" s="156" t="s">
        <v>402</v>
      </c>
      <c r="D129" s="38"/>
      <c r="E129" s="19"/>
      <c r="F129" s="50">
        <f t="shared" si="0"/>
        <v>2.6859999999999997E-05</v>
      </c>
      <c r="G129" s="38">
        <v>0</v>
      </c>
      <c r="H129" s="38">
        <v>0</v>
      </c>
      <c r="I129" s="39">
        <v>0</v>
      </c>
      <c r="J129" s="39">
        <v>6.76138751</v>
      </c>
      <c r="K129" s="35"/>
    </row>
    <row r="130" spans="1:11" s="75" customFormat="1" ht="15">
      <c r="A130" s="172"/>
      <c r="B130" s="16"/>
      <c r="C130" s="156" t="s">
        <v>403</v>
      </c>
      <c r="D130" s="38"/>
      <c r="E130" s="19"/>
      <c r="F130" s="50">
        <f t="shared" si="0"/>
        <v>2.6859999999999997E-05</v>
      </c>
      <c r="G130" s="38">
        <v>0</v>
      </c>
      <c r="H130" s="38">
        <v>0</v>
      </c>
      <c r="I130" s="39">
        <v>0</v>
      </c>
      <c r="J130" s="39">
        <v>0</v>
      </c>
      <c r="K130" s="35"/>
    </row>
    <row r="131" spans="1:11" s="75" customFormat="1" ht="15">
      <c r="A131" s="155" t="s">
        <v>404</v>
      </c>
      <c r="B131" s="16"/>
      <c r="C131" s="156" t="s">
        <v>405</v>
      </c>
      <c r="D131" s="38"/>
      <c r="E131" s="19"/>
      <c r="F131" s="39">
        <v>0</v>
      </c>
      <c r="G131" s="38">
        <v>0</v>
      </c>
      <c r="H131" s="38">
        <v>0</v>
      </c>
      <c r="I131" s="39">
        <v>0</v>
      </c>
      <c r="J131" s="39">
        <v>0.36180199</v>
      </c>
      <c r="K131" s="35"/>
    </row>
    <row r="132" spans="1:11" s="75" customFormat="1" ht="15">
      <c r="A132" s="173" t="s">
        <v>238</v>
      </c>
      <c r="B132" s="20"/>
      <c r="C132" s="16" t="s">
        <v>240</v>
      </c>
      <c r="D132" s="38"/>
      <c r="E132" s="3"/>
      <c r="F132" s="39">
        <v>0.223</v>
      </c>
      <c r="G132" s="135">
        <v>0</v>
      </c>
      <c r="H132" s="61">
        <v>0</v>
      </c>
      <c r="I132" s="39">
        <f>5.46095661+5.47151592+2.66264639+8.86795822</f>
        <v>22.463077140000003</v>
      </c>
      <c r="J132" s="39">
        <f>5199778.25/1000000+5877815.33/1000000</f>
        <v>11.077593579999998</v>
      </c>
      <c r="K132" s="35"/>
    </row>
    <row r="133" spans="1:11" s="75" customFormat="1" ht="15">
      <c r="A133" s="174"/>
      <c r="B133" s="16"/>
      <c r="C133" s="156" t="s">
        <v>406</v>
      </c>
      <c r="D133" s="38"/>
      <c r="E133" s="19"/>
      <c r="F133" s="39">
        <v>0</v>
      </c>
      <c r="G133" s="38">
        <v>0</v>
      </c>
      <c r="H133" s="38">
        <v>0</v>
      </c>
      <c r="I133" s="39">
        <v>0</v>
      </c>
      <c r="J133" s="39">
        <v>2.86223065</v>
      </c>
      <c r="K133" s="35"/>
    </row>
    <row r="134" spans="1:11" s="75" customFormat="1" ht="28.5">
      <c r="A134" s="155" t="s">
        <v>407</v>
      </c>
      <c r="B134" s="16"/>
      <c r="C134" s="156" t="s">
        <v>408</v>
      </c>
      <c r="D134" s="38"/>
      <c r="E134" s="19"/>
      <c r="F134" s="50">
        <f>0.04991696+0.01581558+0.00004665</f>
        <v>0.06577919</v>
      </c>
      <c r="G134" s="38">
        <v>0</v>
      </c>
      <c r="H134" s="38">
        <v>0</v>
      </c>
      <c r="I134" s="39">
        <v>0</v>
      </c>
      <c r="J134" s="39">
        <v>0</v>
      </c>
      <c r="K134" s="35"/>
    </row>
    <row r="135" spans="1:11" s="75" customFormat="1" ht="28.5">
      <c r="A135" s="108" t="s">
        <v>235</v>
      </c>
      <c r="B135" s="16"/>
      <c r="C135" s="16" t="s">
        <v>236</v>
      </c>
      <c r="D135" s="38"/>
      <c r="E135" s="3"/>
      <c r="F135" s="39">
        <v>1.312</v>
      </c>
      <c r="G135" s="43">
        <v>0.507</v>
      </c>
      <c r="H135" s="38">
        <v>0</v>
      </c>
      <c r="I135" s="39">
        <f>1.245+2.1806+0.695+0.16</f>
        <v>4.280600000000001</v>
      </c>
      <c r="J135" s="39">
        <f>440000/1000000</f>
        <v>0.44</v>
      </c>
      <c r="K135" s="35"/>
    </row>
    <row r="136" spans="1:11" s="75" customFormat="1" ht="15">
      <c r="A136" s="108" t="s">
        <v>245</v>
      </c>
      <c r="B136" s="22"/>
      <c r="C136" s="16" t="s">
        <v>246</v>
      </c>
      <c r="D136" s="62"/>
      <c r="E136" s="23"/>
      <c r="F136" s="63">
        <v>0</v>
      </c>
      <c r="G136" s="136">
        <v>0</v>
      </c>
      <c r="H136" s="61">
        <v>0</v>
      </c>
      <c r="I136" s="39">
        <f>4.20731907+4.53864387</f>
        <v>8.745962939999998</v>
      </c>
      <c r="J136" s="39">
        <f>2293318.87/1000000+2046161.34/1000000</f>
        <v>4.3394802100000005</v>
      </c>
      <c r="K136" s="35"/>
    </row>
    <row r="137" spans="1:11" s="75" customFormat="1" ht="15">
      <c r="A137" s="173" t="s">
        <v>328</v>
      </c>
      <c r="B137" s="16"/>
      <c r="C137" s="16" t="s">
        <v>247</v>
      </c>
      <c r="D137" s="62"/>
      <c r="E137" s="23"/>
      <c r="F137" s="63">
        <v>0</v>
      </c>
      <c r="G137" s="136">
        <v>0</v>
      </c>
      <c r="H137" s="61">
        <v>0</v>
      </c>
      <c r="I137" s="199">
        <f>25.75583336+8.79451249+28.83378476+9.56934659</f>
        <v>72.9534772</v>
      </c>
      <c r="J137" s="199">
        <f>27975891.85/1000000+9020611.51/1000000</f>
        <v>36.99650336</v>
      </c>
      <c r="K137" s="35"/>
    </row>
    <row r="138" spans="1:11" s="75" customFormat="1" ht="15">
      <c r="A138" s="174"/>
      <c r="B138" s="16"/>
      <c r="C138" s="16" t="s">
        <v>248</v>
      </c>
      <c r="D138" s="62"/>
      <c r="E138" s="23"/>
      <c r="F138" s="63">
        <v>0</v>
      </c>
      <c r="G138" s="136">
        <v>0</v>
      </c>
      <c r="H138" s="61">
        <v>0</v>
      </c>
      <c r="I138" s="201"/>
      <c r="J138" s="201"/>
      <c r="K138" s="35"/>
    </row>
    <row r="139" spans="1:10" ht="15">
      <c r="A139" s="173" t="s">
        <v>249</v>
      </c>
      <c r="B139" s="16"/>
      <c r="C139" s="16" t="s">
        <v>250</v>
      </c>
      <c r="D139" s="62"/>
      <c r="E139" s="23"/>
      <c r="F139" s="63">
        <v>0.447</v>
      </c>
      <c r="G139" s="136">
        <v>0</v>
      </c>
      <c r="H139" s="61">
        <v>0</v>
      </c>
      <c r="I139" s="199">
        <f>10.96949735+6.91358518+12.16185811+7.46744853</f>
        <v>37.51238917</v>
      </c>
      <c r="J139" s="199">
        <f>3120607.08/1000000+3955236.31/1000000+2031299.72/1000000</f>
        <v>9.107143109999999</v>
      </c>
    </row>
    <row r="140" spans="1:10" ht="15">
      <c r="A140" s="174"/>
      <c r="B140" s="16"/>
      <c r="C140" s="16" t="s">
        <v>251</v>
      </c>
      <c r="D140" s="62"/>
      <c r="E140" s="23"/>
      <c r="F140" s="63">
        <v>0</v>
      </c>
      <c r="G140" s="136">
        <v>0</v>
      </c>
      <c r="H140" s="61">
        <v>0</v>
      </c>
      <c r="I140" s="201"/>
      <c r="J140" s="201"/>
    </row>
    <row r="141" spans="1:10" ht="15">
      <c r="A141" s="183" t="s">
        <v>334</v>
      </c>
      <c r="B141" s="123"/>
      <c r="C141" s="16" t="s">
        <v>254</v>
      </c>
      <c r="D141" s="38"/>
      <c r="E141" s="3"/>
      <c r="F141" s="39">
        <v>0</v>
      </c>
      <c r="G141" s="43">
        <v>0</v>
      </c>
      <c r="H141" s="38">
        <v>0</v>
      </c>
      <c r="I141" s="39">
        <f>34.30048865+83.81884978</f>
        <v>118.11933843</v>
      </c>
      <c r="J141" s="39">
        <f>81.92579215</f>
        <v>81.92579215</v>
      </c>
    </row>
    <row r="142" spans="1:10" ht="25.5">
      <c r="A142" s="184"/>
      <c r="B142" s="120"/>
      <c r="C142" s="120" t="s">
        <v>256</v>
      </c>
      <c r="D142" s="38"/>
      <c r="E142" s="3"/>
      <c r="F142" s="39">
        <v>0</v>
      </c>
      <c r="G142" s="43">
        <v>0</v>
      </c>
      <c r="H142" s="38">
        <v>0</v>
      </c>
      <c r="I142" s="39">
        <f>192.60906588+204.21768698</f>
        <v>396.82675286</v>
      </c>
      <c r="J142" s="39">
        <f>206573063.9/1000000</f>
        <v>206.5730639</v>
      </c>
    </row>
    <row r="143" spans="1:10" ht="15">
      <c r="A143" s="184"/>
      <c r="B143" s="120" t="s">
        <v>255</v>
      </c>
      <c r="C143" s="120" t="s">
        <v>258</v>
      </c>
      <c r="D143" s="38">
        <v>200</v>
      </c>
      <c r="E143" s="3"/>
      <c r="F143" s="39">
        <v>0</v>
      </c>
      <c r="G143" s="43">
        <v>0</v>
      </c>
      <c r="H143" s="38">
        <v>0</v>
      </c>
      <c r="I143" s="39">
        <f>141.96436347+157.97186833</f>
        <v>299.9362318</v>
      </c>
      <c r="J143" s="39">
        <f>154751731.81/1000000</f>
        <v>154.75173181</v>
      </c>
    </row>
    <row r="144" spans="1:10" ht="25.5">
      <c r="A144" s="185"/>
      <c r="B144" s="121"/>
      <c r="C144" s="150" t="s">
        <v>257</v>
      </c>
      <c r="D144" s="122"/>
      <c r="E144" s="28"/>
      <c r="F144" s="145">
        <v>0</v>
      </c>
      <c r="G144" s="48">
        <v>0</v>
      </c>
      <c r="H144" s="143">
        <v>0</v>
      </c>
      <c r="I144" s="145">
        <f>287.9582061+290.89301385</f>
        <v>578.85121995</v>
      </c>
      <c r="J144" s="145">
        <f>272.5973291</f>
        <v>272.5973291</v>
      </c>
    </row>
    <row r="145" spans="1:10" ht="15">
      <c r="A145" s="183" t="s">
        <v>259</v>
      </c>
      <c r="B145" s="120"/>
      <c r="C145" s="16" t="s">
        <v>336</v>
      </c>
      <c r="D145" s="38"/>
      <c r="E145" s="8"/>
      <c r="F145" s="50">
        <v>-0.001</v>
      </c>
      <c r="G145" s="44">
        <v>0</v>
      </c>
      <c r="H145" s="38">
        <v>0</v>
      </c>
      <c r="I145" s="39">
        <f>27.54523849+31.47375068</f>
        <v>59.01898917</v>
      </c>
      <c r="J145" s="39">
        <f>29065253.8/1000000</f>
        <v>29.0652538</v>
      </c>
    </row>
    <row r="146" spans="1:11" s="75" customFormat="1" ht="15">
      <c r="A146" s="184"/>
      <c r="B146" s="16"/>
      <c r="C146" s="16" t="s">
        <v>260</v>
      </c>
      <c r="D146" s="38"/>
      <c r="E146" s="8"/>
      <c r="F146" s="50">
        <v>-0.002</v>
      </c>
      <c r="G146" s="43">
        <v>0</v>
      </c>
      <c r="H146" s="38">
        <v>0</v>
      </c>
      <c r="I146" s="39">
        <v>0</v>
      </c>
      <c r="J146" s="39">
        <v>0</v>
      </c>
      <c r="K146" s="35"/>
    </row>
    <row r="147" spans="1:11" s="75" customFormat="1" ht="15">
      <c r="A147" s="184"/>
      <c r="B147" s="16"/>
      <c r="C147" s="16" t="s">
        <v>279</v>
      </c>
      <c r="D147" s="38"/>
      <c r="E147" s="8"/>
      <c r="F147" s="50">
        <v>0</v>
      </c>
      <c r="G147" s="43">
        <v>0</v>
      </c>
      <c r="H147" s="38">
        <v>0</v>
      </c>
      <c r="I147" s="39">
        <f>110.6693446+114.02634816</f>
        <v>224.69569276</v>
      </c>
      <c r="J147" s="39">
        <f>113.29643733</f>
        <v>113.29643733</v>
      </c>
      <c r="K147" s="35"/>
    </row>
    <row r="148" spans="1:11" s="75" customFormat="1" ht="15">
      <c r="A148" s="185"/>
      <c r="B148" s="16"/>
      <c r="C148" s="16" t="s">
        <v>331</v>
      </c>
      <c r="D148" s="38"/>
      <c r="E148" s="8"/>
      <c r="F148" s="50">
        <v>0</v>
      </c>
      <c r="G148" s="43">
        <v>0</v>
      </c>
      <c r="H148" s="38">
        <v>0</v>
      </c>
      <c r="I148" s="39">
        <f>61.95743559+63.45411506</f>
        <v>125.41155065000001</v>
      </c>
      <c r="J148" s="39">
        <f>62.67219699</f>
        <v>62.67219699</v>
      </c>
      <c r="K148" s="35"/>
    </row>
    <row r="149" spans="1:11" s="75" customFormat="1" ht="42.75">
      <c r="A149" s="98" t="s">
        <v>261</v>
      </c>
      <c r="B149" s="149"/>
      <c r="C149" s="150" t="s">
        <v>264</v>
      </c>
      <c r="D149" s="122">
        <v>20</v>
      </c>
      <c r="E149" s="29"/>
      <c r="F149" s="145">
        <v>2.424</v>
      </c>
      <c r="G149" s="48">
        <v>0</v>
      </c>
      <c r="H149" s="48">
        <f>(1446125.62+5320.28+442.09)/1000000</f>
        <v>1.4518879900000001</v>
      </c>
      <c r="I149" s="145">
        <v>0</v>
      </c>
      <c r="J149" s="145">
        <v>0</v>
      </c>
      <c r="K149" s="35"/>
    </row>
    <row r="150" spans="1:11" s="75" customFormat="1" ht="15">
      <c r="A150" s="100" t="s">
        <v>252</v>
      </c>
      <c r="B150" s="16"/>
      <c r="C150" s="19" t="s">
        <v>253</v>
      </c>
      <c r="D150" s="38"/>
      <c r="E150" s="8"/>
      <c r="F150" s="50">
        <v>0</v>
      </c>
      <c r="G150" s="64">
        <v>0</v>
      </c>
      <c r="H150" s="49">
        <v>0</v>
      </c>
      <c r="I150" s="50">
        <v>0</v>
      </c>
      <c r="J150" s="50">
        <v>0</v>
      </c>
      <c r="K150" s="35"/>
    </row>
    <row r="151" spans="1:10" ht="25.5">
      <c r="A151" s="183" t="s">
        <v>263</v>
      </c>
      <c r="B151" s="2"/>
      <c r="C151" s="4" t="s">
        <v>262</v>
      </c>
      <c r="D151" s="38"/>
      <c r="E151" s="3"/>
      <c r="F151" s="50">
        <v>-0.079</v>
      </c>
      <c r="G151" s="64">
        <f>1.676</f>
        <v>1.676</v>
      </c>
      <c r="H151" s="64">
        <v>0</v>
      </c>
      <c r="I151" s="50">
        <f>466.40124609+498.703387</f>
        <v>965.10463309</v>
      </c>
      <c r="J151" s="50">
        <f>516.12705868</f>
        <v>516.12705868</v>
      </c>
    </row>
    <row r="152" spans="1:10" ht="25.5">
      <c r="A152" s="184"/>
      <c r="B152" s="3"/>
      <c r="C152" s="4" t="s">
        <v>311</v>
      </c>
      <c r="D152" s="38"/>
      <c r="E152" s="4"/>
      <c r="F152" s="50">
        <v>-0.016</v>
      </c>
      <c r="G152" s="64">
        <v>0</v>
      </c>
      <c r="H152" s="64">
        <v>0</v>
      </c>
      <c r="I152" s="50">
        <v>0</v>
      </c>
      <c r="J152" s="50">
        <v>0</v>
      </c>
    </row>
    <row r="153" spans="1:11" s="71" customFormat="1" ht="15">
      <c r="A153" s="184"/>
      <c r="B153" s="3"/>
      <c r="C153" s="4" t="s">
        <v>265</v>
      </c>
      <c r="D153" s="38"/>
      <c r="E153" s="4"/>
      <c r="F153" s="50">
        <v>-0.444</v>
      </c>
      <c r="G153" s="64">
        <v>0.951</v>
      </c>
      <c r="H153" s="64">
        <v>0</v>
      </c>
      <c r="I153" s="50">
        <f>289.27880379+271.96599336</f>
        <v>561.2447971500001</v>
      </c>
      <c r="J153" s="50">
        <f>263.98296497</f>
        <v>263.98296497</v>
      </c>
      <c r="K153" s="32"/>
    </row>
    <row r="154" spans="1:11" s="71" customFormat="1" ht="25.5">
      <c r="A154" s="184"/>
      <c r="B154" s="3"/>
      <c r="C154" s="4" t="s">
        <v>312</v>
      </c>
      <c r="D154" s="38"/>
      <c r="E154" s="4"/>
      <c r="F154" s="50">
        <v>-0.309</v>
      </c>
      <c r="G154" s="64">
        <v>0.277</v>
      </c>
      <c r="H154" s="64">
        <v>0</v>
      </c>
      <c r="I154" s="50">
        <f>221.39302645+208.08403313</f>
        <v>429.47705958</v>
      </c>
      <c r="J154" s="50">
        <f>203.38443313</f>
        <v>203.38443313</v>
      </c>
      <c r="K154" s="32"/>
    </row>
    <row r="155" spans="1:10" ht="25.5">
      <c r="A155" s="184"/>
      <c r="B155" s="3"/>
      <c r="C155" s="4" t="s">
        <v>313</v>
      </c>
      <c r="D155" s="38"/>
      <c r="E155" s="4"/>
      <c r="F155" s="50">
        <v>-0.12</v>
      </c>
      <c r="G155" s="64">
        <v>0.12</v>
      </c>
      <c r="H155" s="64">
        <v>0</v>
      </c>
      <c r="I155" s="50">
        <f>131.74227896+156.08171358</f>
        <v>287.82399254</v>
      </c>
      <c r="J155" s="50">
        <f>161.13440409</f>
        <v>161.13440409</v>
      </c>
    </row>
    <row r="156" spans="1:10" ht="15">
      <c r="A156" s="184"/>
      <c r="B156" s="3"/>
      <c r="C156" s="4" t="s">
        <v>266</v>
      </c>
      <c r="D156" s="38"/>
      <c r="E156" s="4"/>
      <c r="F156" s="50">
        <v>-0.069</v>
      </c>
      <c r="G156" s="64">
        <v>0.916</v>
      </c>
      <c r="H156" s="119">
        <v>0</v>
      </c>
      <c r="I156" s="50">
        <f>131.27780932+131.39285645</f>
        <v>262.67066577</v>
      </c>
      <c r="J156" s="50">
        <f>123.20069504</f>
        <v>123.20069504</v>
      </c>
    </row>
    <row r="157" spans="1:10" ht="15">
      <c r="A157" s="184"/>
      <c r="B157" s="3"/>
      <c r="C157" s="4" t="s">
        <v>350</v>
      </c>
      <c r="D157" s="38"/>
      <c r="E157" s="4"/>
      <c r="F157" s="50">
        <v>-0.017</v>
      </c>
      <c r="G157" s="64">
        <v>0</v>
      </c>
      <c r="H157" s="129">
        <v>0</v>
      </c>
      <c r="I157" s="50">
        <v>363.80446289</v>
      </c>
      <c r="J157" s="50">
        <f>392677924.98/1000000</f>
        <v>392.67792498</v>
      </c>
    </row>
    <row r="158" spans="1:10" ht="15">
      <c r="A158" s="185"/>
      <c r="B158" s="3"/>
      <c r="C158" s="4" t="s">
        <v>267</v>
      </c>
      <c r="D158" s="38"/>
      <c r="E158" s="4"/>
      <c r="F158" s="50">
        <v>-0.062</v>
      </c>
      <c r="G158" s="64">
        <v>0</v>
      </c>
      <c r="H158" s="64">
        <v>0</v>
      </c>
      <c r="I158" s="50">
        <f>199.91778317+212.53085701</f>
        <v>412.44864018</v>
      </c>
      <c r="J158" s="50">
        <f>201.8956355</f>
        <v>201.8956355</v>
      </c>
    </row>
    <row r="159" spans="1:10" ht="15.75" thickBot="1">
      <c r="A159" s="93" t="s">
        <v>332</v>
      </c>
      <c r="B159" s="27"/>
      <c r="C159" s="150" t="s">
        <v>333</v>
      </c>
      <c r="D159" s="56"/>
      <c r="E159" s="29"/>
      <c r="F159" s="147">
        <v>0.484</v>
      </c>
      <c r="G159" s="65">
        <v>0.502</v>
      </c>
      <c r="H159" s="65">
        <v>0</v>
      </c>
      <c r="I159" s="147">
        <f>6.53132849+4.43337698+1.32/1000000</f>
        <v>10.964706790000001</v>
      </c>
      <c r="J159" s="147">
        <f>10777240.44/1000000</f>
        <v>10.77724044</v>
      </c>
    </row>
    <row r="160" spans="1:10" ht="15.75" thickBot="1">
      <c r="A160" s="162" t="s">
        <v>322</v>
      </c>
      <c r="B160" s="66"/>
      <c r="C160" s="67"/>
      <c r="D160" s="68"/>
      <c r="E160" s="67"/>
      <c r="F160" s="69">
        <f>SUM(F9:F159)-F36</f>
        <v>1725.235507142332</v>
      </c>
      <c r="G160" s="137">
        <f>SUM(G9:G159)</f>
        <v>2545.073311940001</v>
      </c>
      <c r="H160" s="69">
        <f>SUM(H9:H159)</f>
        <v>6400.987092049999</v>
      </c>
      <c r="I160" s="124">
        <f>SUM(I9:I159)</f>
        <v>6150.58640334</v>
      </c>
      <c r="J160" s="163">
        <f>SUM(J9:J159)</f>
        <v>3374.6039668400003</v>
      </c>
    </row>
    <row r="161" spans="1:10" ht="15.75" thickBot="1">
      <c r="A161" s="217" t="s">
        <v>321</v>
      </c>
      <c r="B161" s="218"/>
      <c r="C161" s="218"/>
      <c r="D161" s="218"/>
      <c r="E161" s="218"/>
      <c r="F161" s="218"/>
      <c r="G161" s="218"/>
      <c r="H161" s="218"/>
      <c r="I161" s="218"/>
      <c r="J161" s="219"/>
    </row>
    <row r="162" spans="1:10" ht="25.5">
      <c r="A162" s="109" t="s">
        <v>33</v>
      </c>
      <c r="B162" s="151" t="s">
        <v>91</v>
      </c>
      <c r="C162" s="151" t="s">
        <v>92</v>
      </c>
      <c r="D162" s="51">
        <f>0.96017138*K6</f>
        <v>1.090946713574897</v>
      </c>
      <c r="E162" s="127" t="s">
        <v>77</v>
      </c>
      <c r="F162" s="153">
        <f>0.58667572*K6</f>
        <v>0.66658094794305</v>
      </c>
      <c r="G162" s="51">
        <v>0</v>
      </c>
      <c r="H162" s="51">
        <f>6700456.1/1000000</f>
        <v>6.700456099999999</v>
      </c>
      <c r="I162" s="77">
        <v>0</v>
      </c>
      <c r="J162" s="153">
        <v>0</v>
      </c>
    </row>
    <row r="163" spans="1:10" ht="25.5">
      <c r="A163" s="99" t="s">
        <v>36</v>
      </c>
      <c r="B163" s="151" t="s">
        <v>73</v>
      </c>
      <c r="C163" s="151" t="s">
        <v>74</v>
      </c>
      <c r="D163" s="76">
        <f>24.01892547*K6</f>
        <v>27.290302909358626</v>
      </c>
      <c r="E163" s="30" t="s">
        <v>70</v>
      </c>
      <c r="F163" s="153">
        <f>18.25801109*K6</f>
        <v>20.74475204108825</v>
      </c>
      <c r="G163" s="43">
        <v>0</v>
      </c>
      <c r="H163" s="43">
        <f>112161723.56/1000000</f>
        <v>112.16172356</v>
      </c>
      <c r="I163" s="77">
        <v>0</v>
      </c>
      <c r="J163" s="153">
        <v>0</v>
      </c>
    </row>
    <row r="164" spans="1:11" s="72" customFormat="1" ht="25.5">
      <c r="A164" s="109" t="s">
        <v>26</v>
      </c>
      <c r="B164" s="120" t="s">
        <v>101</v>
      </c>
      <c r="C164" s="120" t="s">
        <v>102</v>
      </c>
      <c r="D164" s="43">
        <f>1.50575459*K6</f>
        <v>1.7108383520146335</v>
      </c>
      <c r="E164" s="4" t="s">
        <v>70</v>
      </c>
      <c r="F164" s="153">
        <f>0.74601129*K6</f>
        <v>0.8476180211862484</v>
      </c>
      <c r="G164" s="52">
        <v>0</v>
      </c>
      <c r="H164" s="43">
        <f>8448765.01/1000000</f>
        <v>8.448765009999999</v>
      </c>
      <c r="I164" s="77">
        <v>0</v>
      </c>
      <c r="J164" s="153">
        <v>0</v>
      </c>
      <c r="K164" s="33"/>
    </row>
    <row r="165" spans="1:10" ht="25.5">
      <c r="A165" s="93" t="s">
        <v>27</v>
      </c>
      <c r="B165" s="120" t="s">
        <v>110</v>
      </c>
      <c r="C165" s="120" t="s">
        <v>104</v>
      </c>
      <c r="D165" s="48">
        <f>30.62651271*K6</f>
        <v>34.7978434737706</v>
      </c>
      <c r="E165" s="4" t="s">
        <v>105</v>
      </c>
      <c r="F165" s="153">
        <f>43.42995075*K6</f>
        <v>49.3451096630605</v>
      </c>
      <c r="G165" s="52">
        <v>0</v>
      </c>
      <c r="H165" s="43">
        <f>238313103.72/1000000</f>
        <v>238.31310372</v>
      </c>
      <c r="I165" s="77">
        <v>0</v>
      </c>
      <c r="J165" s="153">
        <v>0</v>
      </c>
    </row>
    <row r="166" spans="1:10" ht="25.5">
      <c r="A166" s="92" t="s">
        <v>37</v>
      </c>
      <c r="B166" s="120" t="s">
        <v>99</v>
      </c>
      <c r="C166" s="120" t="s">
        <v>100</v>
      </c>
      <c r="D166" s="48">
        <f>4.08414995*K6</f>
        <v>4.640411137540445</v>
      </c>
      <c r="E166" s="8" t="s">
        <v>77</v>
      </c>
      <c r="F166" s="153">
        <f>3.470193*K6</f>
        <v>3.942833256309527</v>
      </c>
      <c r="G166" s="52">
        <v>0</v>
      </c>
      <c r="H166" s="43">
        <f>13328598.36/1000000</f>
        <v>13.328598359999999</v>
      </c>
      <c r="I166" s="77">
        <v>0</v>
      </c>
      <c r="J166" s="153">
        <v>0</v>
      </c>
    </row>
    <row r="167" spans="1:10" ht="25.5">
      <c r="A167" s="93" t="s">
        <v>46</v>
      </c>
      <c r="B167" s="120" t="s">
        <v>81</v>
      </c>
      <c r="C167" s="120" t="s">
        <v>84</v>
      </c>
      <c r="D167" s="43">
        <f>4.60162693*K6</f>
        <v>5.228368477699515</v>
      </c>
      <c r="E167" s="8" t="s">
        <v>83</v>
      </c>
      <c r="F167" s="153">
        <f>4.79673309*K6</f>
        <v>5.450048094988481</v>
      </c>
      <c r="G167" s="52">
        <v>0</v>
      </c>
      <c r="H167" s="43">
        <f>29257232.5/1000000</f>
        <v>29.2572325</v>
      </c>
      <c r="I167" s="77">
        <v>0</v>
      </c>
      <c r="J167" s="153">
        <v>0</v>
      </c>
    </row>
    <row r="168" spans="1:10" ht="25.5">
      <c r="A168" s="110" t="s">
        <v>41</v>
      </c>
      <c r="B168" s="5" t="s">
        <v>164</v>
      </c>
      <c r="C168" s="5" t="s">
        <v>165</v>
      </c>
      <c r="D168" s="43">
        <f>4.01395111*K6</f>
        <v>4.560651216145194</v>
      </c>
      <c r="E168" s="8" t="s">
        <v>77</v>
      </c>
      <c r="F168" s="153">
        <f>0.08791873*K6</f>
        <v>0.09989326025857874</v>
      </c>
      <c r="G168" s="52">
        <v>0</v>
      </c>
      <c r="H168" s="43">
        <f>1383395.62/1000000</f>
        <v>1.3833956200000002</v>
      </c>
      <c r="I168" s="77">
        <v>0</v>
      </c>
      <c r="J168" s="153">
        <v>0</v>
      </c>
    </row>
    <row r="169" spans="1:10" ht="25.5">
      <c r="A169" s="92" t="s">
        <v>42</v>
      </c>
      <c r="B169" s="120" t="s">
        <v>140</v>
      </c>
      <c r="C169" s="120" t="s">
        <v>141</v>
      </c>
      <c r="D169" s="43">
        <v>24.9132155</v>
      </c>
      <c r="E169" s="8" t="s">
        <v>139</v>
      </c>
      <c r="F169" s="153">
        <v>30.62046199</v>
      </c>
      <c r="G169" s="52">
        <v>0</v>
      </c>
      <c r="H169" s="43">
        <f>38562168.66/1000000</f>
        <v>38.56216866</v>
      </c>
      <c r="I169" s="77">
        <v>0</v>
      </c>
      <c r="J169" s="153">
        <v>0</v>
      </c>
    </row>
    <row r="170" spans="1:10" ht="15">
      <c r="A170" s="111" t="s">
        <v>65</v>
      </c>
      <c r="B170" s="2"/>
      <c r="C170" s="2"/>
      <c r="D170" s="43"/>
      <c r="E170" s="3"/>
      <c r="F170" s="220">
        <f>4.67941208*K6</f>
        <v>5.316747964450546</v>
      </c>
      <c r="G170" s="52">
        <v>0</v>
      </c>
      <c r="H170" s="43">
        <v>0</v>
      </c>
      <c r="I170" s="77">
        <v>0</v>
      </c>
      <c r="J170" s="153">
        <v>0</v>
      </c>
    </row>
    <row r="171" spans="1:10" ht="15">
      <c r="A171" s="111" t="s">
        <v>66</v>
      </c>
      <c r="B171" s="3"/>
      <c r="C171" s="2"/>
      <c r="D171" s="43"/>
      <c r="E171" s="3"/>
      <c r="F171" s="221"/>
      <c r="G171" s="52">
        <v>0</v>
      </c>
      <c r="H171" s="78">
        <f>25013182.06/1000000</f>
        <v>25.01318206</v>
      </c>
      <c r="I171" s="77">
        <v>0</v>
      </c>
      <c r="J171" s="153">
        <v>0</v>
      </c>
    </row>
    <row r="172" spans="1:10" ht="25.5">
      <c r="A172" s="93" t="s">
        <v>28</v>
      </c>
      <c r="B172" s="120" t="s">
        <v>103</v>
      </c>
      <c r="C172" s="120" t="s">
        <v>104</v>
      </c>
      <c r="D172" s="48">
        <f>0.35271312*K6</f>
        <v>0.4007526438652527</v>
      </c>
      <c r="E172" s="4" t="s">
        <v>105</v>
      </c>
      <c r="F172" s="153">
        <f>0.44979077*K6</f>
        <v>0.5110522689478855</v>
      </c>
      <c r="G172" s="52">
        <v>0</v>
      </c>
      <c r="H172" s="43">
        <f>1051695.43/1000000</f>
        <v>1.0516954299999999</v>
      </c>
      <c r="I172" s="77">
        <v>0</v>
      </c>
      <c r="J172" s="153">
        <v>0</v>
      </c>
    </row>
    <row r="173" spans="1:10" ht="25.5">
      <c r="A173" s="98" t="s">
        <v>29</v>
      </c>
      <c r="B173" s="120" t="s">
        <v>133</v>
      </c>
      <c r="C173" s="120" t="s">
        <v>134</v>
      </c>
      <c r="D173" s="48">
        <v>15</v>
      </c>
      <c r="E173" s="8" t="s">
        <v>132</v>
      </c>
      <c r="F173" s="153">
        <v>12.95720312</v>
      </c>
      <c r="G173" s="52">
        <v>0</v>
      </c>
      <c r="H173" s="43">
        <f>75437118.1/1000000</f>
        <v>75.43711809999999</v>
      </c>
      <c r="I173" s="77">
        <v>0</v>
      </c>
      <c r="J173" s="153">
        <v>0</v>
      </c>
    </row>
    <row r="174" spans="1:10" ht="15">
      <c r="A174" s="110" t="s">
        <v>40</v>
      </c>
      <c r="B174" s="2"/>
      <c r="C174" s="2"/>
      <c r="D174" s="43"/>
      <c r="E174" s="3"/>
      <c r="F174" s="153">
        <f>2.6988492*K6</f>
        <v>3.0664324374824004</v>
      </c>
      <c r="G174" s="52">
        <v>0</v>
      </c>
      <c r="H174" s="43">
        <f>12992338/1000000</f>
        <v>12.992338</v>
      </c>
      <c r="I174" s="77">
        <v>0</v>
      </c>
      <c r="J174" s="153">
        <v>0</v>
      </c>
    </row>
    <row r="175" spans="1:10" ht="15">
      <c r="A175" s="110" t="s">
        <v>48</v>
      </c>
      <c r="B175" s="2"/>
      <c r="C175" s="2"/>
      <c r="D175" s="48"/>
      <c r="E175" s="1"/>
      <c r="F175" s="153">
        <v>0</v>
      </c>
      <c r="G175" s="79">
        <v>0</v>
      </c>
      <c r="H175" s="51">
        <f>16060587.71/1000000</f>
        <v>16.06058771</v>
      </c>
      <c r="I175" s="77">
        <v>0</v>
      </c>
      <c r="J175" s="153">
        <v>0</v>
      </c>
    </row>
    <row r="176" spans="1:10" ht="42.75">
      <c r="A176" s="112" t="s">
        <v>34</v>
      </c>
      <c r="B176" s="2"/>
      <c r="C176" s="1"/>
      <c r="D176" s="48"/>
      <c r="E176" s="1"/>
      <c r="F176" s="153">
        <f>0.7968216/K8</f>
        <v>0.03045211217966626</v>
      </c>
      <c r="G176" s="79">
        <v>0</v>
      </c>
      <c r="H176" s="51">
        <f>160577.1/1000000</f>
        <v>0.1605771</v>
      </c>
      <c r="I176" s="77">
        <v>0</v>
      </c>
      <c r="J176" s="153">
        <v>0</v>
      </c>
    </row>
    <row r="177" spans="1:10" ht="28.5">
      <c r="A177" s="113" t="s">
        <v>35</v>
      </c>
      <c r="B177" s="2"/>
      <c r="C177" s="1"/>
      <c r="D177" s="48"/>
      <c r="E177" s="1"/>
      <c r="F177" s="153">
        <f>1.79334043/K8</f>
        <v>0.06853604865968861</v>
      </c>
      <c r="G177" s="79">
        <v>0</v>
      </c>
      <c r="H177" s="51">
        <f>289720.5/1000000</f>
        <v>0.2897205</v>
      </c>
      <c r="I177" s="77">
        <v>0</v>
      </c>
      <c r="J177" s="153">
        <v>0</v>
      </c>
    </row>
    <row r="178" spans="1:10" ht="25.5">
      <c r="A178" s="92" t="s">
        <v>0</v>
      </c>
      <c r="B178" s="14"/>
      <c r="C178" s="120" t="s">
        <v>131</v>
      </c>
      <c r="D178" s="43">
        <f>25.85424091*K6</f>
        <v>29.375588296266606</v>
      </c>
      <c r="E178" s="4" t="s">
        <v>105</v>
      </c>
      <c r="F178" s="39">
        <f>37.1701816*K6</f>
        <v>42.2327600094705</v>
      </c>
      <c r="G178" s="43">
        <v>0</v>
      </c>
      <c r="H178" s="43">
        <f>587849660.28/1000000</f>
        <v>587.84966028</v>
      </c>
      <c r="I178" s="43">
        <v>0</v>
      </c>
      <c r="J178" s="39">
        <v>0</v>
      </c>
    </row>
    <row r="179" spans="1:10" ht="25.5">
      <c r="A179" s="98" t="s">
        <v>30</v>
      </c>
      <c r="B179" s="120" t="s">
        <v>145</v>
      </c>
      <c r="C179" s="120" t="s">
        <v>146</v>
      </c>
      <c r="D179" s="48">
        <f>1.26861793*K6</f>
        <v>1.441403680992542</v>
      </c>
      <c r="E179" s="8" t="s">
        <v>77</v>
      </c>
      <c r="F179" s="153">
        <f>1.08091182*K6</f>
        <v>1.228132000448983</v>
      </c>
      <c r="G179" s="79">
        <v>0</v>
      </c>
      <c r="H179" s="51">
        <f>647749.08/1000000</f>
        <v>0.64774908</v>
      </c>
      <c r="I179" s="77">
        <v>0</v>
      </c>
      <c r="J179" s="153">
        <v>0</v>
      </c>
    </row>
    <row r="180" spans="1:10" ht="114">
      <c r="A180" s="98" t="s">
        <v>38</v>
      </c>
      <c r="B180" s="120" t="s">
        <v>118</v>
      </c>
      <c r="C180" s="120" t="s">
        <v>119</v>
      </c>
      <c r="D180" s="43">
        <f>9.27658248*K6</f>
        <v>10.540052932802961</v>
      </c>
      <c r="E180" s="8" t="s">
        <v>77</v>
      </c>
      <c r="F180" s="153">
        <f>8.86304848*K6</f>
        <v>10.0701956056126</v>
      </c>
      <c r="G180" s="51">
        <v>0</v>
      </c>
      <c r="H180" s="51">
        <f>22206089.62/1000000</f>
        <v>22.20608962</v>
      </c>
      <c r="I180" s="43">
        <v>0</v>
      </c>
      <c r="J180" s="39">
        <v>0</v>
      </c>
    </row>
    <row r="181" spans="1:10" ht="25.5">
      <c r="A181" s="98" t="s">
        <v>31</v>
      </c>
      <c r="B181" s="120" t="s">
        <v>122</v>
      </c>
      <c r="C181" s="120" t="s">
        <v>123</v>
      </c>
      <c r="D181" s="43">
        <v>2.058</v>
      </c>
      <c r="E181" s="8" t="s">
        <v>108</v>
      </c>
      <c r="F181" s="74">
        <f>2.05902565</f>
        <v>2.05902565</v>
      </c>
      <c r="G181" s="43">
        <v>0</v>
      </c>
      <c r="H181" s="52">
        <f>13090935.92/1000000</f>
        <v>13.09093592</v>
      </c>
      <c r="I181" s="128">
        <v>0</v>
      </c>
      <c r="J181" s="74">
        <v>0</v>
      </c>
    </row>
    <row r="182" spans="1:10" ht="76.5">
      <c r="A182" s="92" t="s">
        <v>39</v>
      </c>
      <c r="B182" s="6" t="s">
        <v>156</v>
      </c>
      <c r="C182" s="6" t="s">
        <v>157</v>
      </c>
      <c r="D182" s="43">
        <f>50.54923979*K6</f>
        <v>57.43404580816595</v>
      </c>
      <c r="E182" s="4" t="s">
        <v>158</v>
      </c>
      <c r="F182" s="153">
        <f>35.37499117*K6</f>
        <v>40.193064658574286</v>
      </c>
      <c r="G182" s="51">
        <v>0</v>
      </c>
      <c r="H182" s="79">
        <f>(318422822.01+6368742.32)/1000000</f>
        <v>324.79156432999997</v>
      </c>
      <c r="I182" s="43">
        <v>0</v>
      </c>
      <c r="J182" s="39">
        <v>0</v>
      </c>
    </row>
    <row r="183" spans="1:10" ht="38.25">
      <c r="A183" s="98" t="s">
        <v>32</v>
      </c>
      <c r="B183" s="7" t="s">
        <v>71</v>
      </c>
      <c r="C183" s="7" t="s">
        <v>205</v>
      </c>
      <c r="D183" s="43">
        <v>50</v>
      </c>
      <c r="E183" s="4" t="s">
        <v>72</v>
      </c>
      <c r="F183" s="74">
        <f>38787004.58/1000000</f>
        <v>38.78700458</v>
      </c>
      <c r="G183" s="43">
        <v>0</v>
      </c>
      <c r="H183" s="43">
        <f>199955474.61/1000000</f>
        <v>199.95547461</v>
      </c>
      <c r="I183" s="77">
        <v>0</v>
      </c>
      <c r="J183" s="153">
        <v>0</v>
      </c>
    </row>
    <row r="184" spans="1:10" ht="25.5">
      <c r="A184" s="92" t="s">
        <v>47</v>
      </c>
      <c r="B184" s="15" t="s">
        <v>208</v>
      </c>
      <c r="C184" s="16" t="s">
        <v>275</v>
      </c>
      <c r="D184" s="40">
        <v>10.9</v>
      </c>
      <c r="E184" s="5" t="s">
        <v>126</v>
      </c>
      <c r="F184" s="39">
        <v>0.076</v>
      </c>
      <c r="G184" s="52">
        <v>0</v>
      </c>
      <c r="H184" s="52">
        <f>663159.05/1000000</f>
        <v>0.6631590500000001</v>
      </c>
      <c r="I184" s="77">
        <v>0</v>
      </c>
      <c r="J184" s="153">
        <v>0</v>
      </c>
    </row>
    <row r="185" spans="1:10" ht="25.5">
      <c r="A185" s="114" t="s">
        <v>43</v>
      </c>
      <c r="B185" s="16" t="s">
        <v>276</v>
      </c>
      <c r="C185" s="16" t="s">
        <v>277</v>
      </c>
      <c r="D185" s="54">
        <v>2</v>
      </c>
      <c r="E185" s="5" t="s">
        <v>278</v>
      </c>
      <c r="F185" s="59">
        <v>0.383</v>
      </c>
      <c r="G185" s="52">
        <v>0</v>
      </c>
      <c r="H185" s="52">
        <v>0</v>
      </c>
      <c r="I185" s="77">
        <v>0</v>
      </c>
      <c r="J185" s="153">
        <v>0</v>
      </c>
    </row>
    <row r="186" spans="1:10" ht="25.5">
      <c r="A186" s="115" t="s">
        <v>44</v>
      </c>
      <c r="B186" s="120" t="s">
        <v>124</v>
      </c>
      <c r="C186" s="120" t="s">
        <v>125</v>
      </c>
      <c r="D186" s="43">
        <v>4.6</v>
      </c>
      <c r="E186" s="4" t="s">
        <v>126</v>
      </c>
      <c r="F186" s="39">
        <v>9.52566999</v>
      </c>
      <c r="G186" s="81">
        <v>0</v>
      </c>
      <c r="H186" s="43">
        <f>35489606.96/1000000</f>
        <v>35.48960696</v>
      </c>
      <c r="I186" s="43">
        <v>0</v>
      </c>
      <c r="J186" s="39">
        <v>0</v>
      </c>
    </row>
    <row r="187" spans="1:10" ht="89.25">
      <c r="A187" s="98" t="s">
        <v>303</v>
      </c>
      <c r="B187" s="16" t="s">
        <v>214</v>
      </c>
      <c r="C187" s="16" t="s">
        <v>215</v>
      </c>
      <c r="D187" s="82">
        <v>1.4562987</v>
      </c>
      <c r="E187" s="6" t="s">
        <v>216</v>
      </c>
      <c r="F187" s="41">
        <v>0.004</v>
      </c>
      <c r="G187" s="83">
        <v>0</v>
      </c>
      <c r="H187" s="43">
        <f>8878.92/1000000</f>
        <v>0.00887892</v>
      </c>
      <c r="I187" s="43">
        <v>0</v>
      </c>
      <c r="J187" s="39">
        <v>0</v>
      </c>
    </row>
    <row r="188" spans="1:10" ht="25.5">
      <c r="A188" s="105" t="s">
        <v>24</v>
      </c>
      <c r="B188" s="15" t="s">
        <v>208</v>
      </c>
      <c r="C188" s="16" t="s">
        <v>209</v>
      </c>
      <c r="D188" s="38">
        <v>5.44</v>
      </c>
      <c r="E188" s="4" t="s">
        <v>126</v>
      </c>
      <c r="F188" s="39">
        <v>9.978</v>
      </c>
      <c r="G188" s="43">
        <v>0</v>
      </c>
      <c r="H188" s="43">
        <f>11547055/1000000</f>
        <v>11.547055</v>
      </c>
      <c r="I188" s="142">
        <v>0</v>
      </c>
      <c r="J188" s="39">
        <v>0</v>
      </c>
    </row>
    <row r="189" spans="1:10" ht="44.25">
      <c r="A189" s="98" t="s">
        <v>316</v>
      </c>
      <c r="B189" s="120" t="s">
        <v>87</v>
      </c>
      <c r="C189" s="120" t="s">
        <v>88</v>
      </c>
      <c r="D189" s="43">
        <f>4.04310139*K6</f>
        <v>4.593771764026749</v>
      </c>
      <c r="E189" s="8" t="s">
        <v>77</v>
      </c>
      <c r="F189" s="146">
        <f>3.64389715*K6</f>
        <v>4.140195910023306</v>
      </c>
      <c r="G189" s="44">
        <v>0</v>
      </c>
      <c r="H189" s="43">
        <f>20153250.29/1000000</f>
        <v>20.15325029</v>
      </c>
      <c r="I189" s="38">
        <v>0</v>
      </c>
      <c r="J189" s="146">
        <v>0</v>
      </c>
    </row>
    <row r="190" spans="1:10" ht="103.5">
      <c r="A190" s="98" t="s">
        <v>297</v>
      </c>
      <c r="B190" s="175" t="s">
        <v>81</v>
      </c>
      <c r="C190" s="175" t="s">
        <v>82</v>
      </c>
      <c r="D190" s="177">
        <f>1.2782297*K6</f>
        <v>1.4523245739826431</v>
      </c>
      <c r="E190" s="179" t="s">
        <v>83</v>
      </c>
      <c r="F190" s="199">
        <f>1.35346146*K6</f>
        <v>1.537802899037963</v>
      </c>
      <c r="G190" s="52">
        <v>0</v>
      </c>
      <c r="H190" s="43">
        <f>13786427.66/1000000</f>
        <v>13.78642766</v>
      </c>
      <c r="I190" s="38">
        <v>0</v>
      </c>
      <c r="J190" s="39">
        <v>0</v>
      </c>
    </row>
    <row r="191" spans="1:10" ht="103.5">
      <c r="A191" s="109" t="s">
        <v>319</v>
      </c>
      <c r="B191" s="176"/>
      <c r="C191" s="176"/>
      <c r="D191" s="178"/>
      <c r="E191" s="180"/>
      <c r="F191" s="201"/>
      <c r="G191" s="79">
        <v>0</v>
      </c>
      <c r="H191" s="51">
        <f>14402241.08/1000000</f>
        <v>14.40224108</v>
      </c>
      <c r="I191" s="144">
        <v>0</v>
      </c>
      <c r="J191" s="146">
        <v>0</v>
      </c>
    </row>
    <row r="192" spans="1:10" ht="44.25">
      <c r="A192" s="98" t="s">
        <v>315</v>
      </c>
      <c r="B192" s="211"/>
      <c r="C192" s="211"/>
      <c r="D192" s="214"/>
      <c r="E192" s="211"/>
      <c r="F192" s="206">
        <f>8.05722071/K8</f>
        <v>0.3079226126867673</v>
      </c>
      <c r="G192" s="43">
        <v>0</v>
      </c>
      <c r="H192" s="43">
        <f>3105593.02/1000000</f>
        <v>3.10559302</v>
      </c>
      <c r="I192" s="177">
        <v>0</v>
      </c>
      <c r="J192" s="199">
        <v>0</v>
      </c>
    </row>
    <row r="193" spans="1:10" ht="44.25">
      <c r="A193" s="98" t="s">
        <v>298</v>
      </c>
      <c r="B193" s="212"/>
      <c r="C193" s="212"/>
      <c r="D193" s="215"/>
      <c r="E193" s="212"/>
      <c r="F193" s="207"/>
      <c r="G193" s="43">
        <v>0</v>
      </c>
      <c r="H193" s="43">
        <f>3231489.18/1000000</f>
        <v>3.23148918</v>
      </c>
      <c r="I193" s="204"/>
      <c r="J193" s="200"/>
    </row>
    <row r="194" spans="1:10" ht="58.5">
      <c r="A194" s="98" t="s">
        <v>299</v>
      </c>
      <c r="B194" s="212"/>
      <c r="C194" s="212"/>
      <c r="D194" s="215"/>
      <c r="E194" s="212"/>
      <c r="F194" s="207"/>
      <c r="G194" s="43">
        <v>0</v>
      </c>
      <c r="H194" s="43">
        <f>3149171.34/1000000</f>
        <v>3.1491713399999997</v>
      </c>
      <c r="I194" s="204"/>
      <c r="J194" s="200"/>
    </row>
    <row r="195" spans="1:10" ht="72.75">
      <c r="A195" s="116" t="s">
        <v>314</v>
      </c>
      <c r="B195" s="213"/>
      <c r="C195" s="213"/>
      <c r="D195" s="216"/>
      <c r="E195" s="213"/>
      <c r="F195" s="208"/>
      <c r="G195" s="51">
        <v>0</v>
      </c>
      <c r="H195" s="51">
        <f>2224878.48/1000000</f>
        <v>2.22487848</v>
      </c>
      <c r="I195" s="178"/>
      <c r="J195" s="201"/>
    </row>
    <row r="196" spans="1:10" ht="60">
      <c r="A196" s="98" t="s">
        <v>300</v>
      </c>
      <c r="B196" s="120" t="s">
        <v>93</v>
      </c>
      <c r="C196" s="120" t="s">
        <v>94</v>
      </c>
      <c r="D196" s="38">
        <f>2.77353707*K6</f>
        <v>3.1512927947244678</v>
      </c>
      <c r="E196" s="8" t="s">
        <v>77</v>
      </c>
      <c r="F196" s="146">
        <f>2.28872099*K6</f>
        <v>2.6004447688603096</v>
      </c>
      <c r="G196" s="51">
        <v>0</v>
      </c>
      <c r="H196" s="51">
        <f>7018311.34/1000000</f>
        <v>7.0183113399999995</v>
      </c>
      <c r="I196" s="38">
        <v>0</v>
      </c>
      <c r="J196" s="146">
        <v>0</v>
      </c>
    </row>
    <row r="197" spans="1:10" ht="60" thickBot="1">
      <c r="A197" s="93" t="s">
        <v>301</v>
      </c>
      <c r="B197" s="150" t="s">
        <v>75</v>
      </c>
      <c r="C197" s="150" t="s">
        <v>76</v>
      </c>
      <c r="D197" s="143">
        <f>4.09479198*K6</f>
        <v>4.652502611933555</v>
      </c>
      <c r="E197" s="28" t="s">
        <v>77</v>
      </c>
      <c r="F197" s="39">
        <f>3.99062006*K6</f>
        <v>4.534142477338846</v>
      </c>
      <c r="G197" s="76">
        <v>0</v>
      </c>
      <c r="H197" s="76">
        <f>9021661.38/1000000</f>
        <v>9.021661380000001</v>
      </c>
      <c r="I197" s="143">
        <v>0</v>
      </c>
      <c r="J197" s="39">
        <v>0</v>
      </c>
    </row>
    <row r="198" spans="1:10" ht="15.75" thickBot="1">
      <c r="A198" s="162" t="s">
        <v>322</v>
      </c>
      <c r="B198" s="66"/>
      <c r="C198" s="84"/>
      <c r="D198" s="68"/>
      <c r="E198" s="84"/>
      <c r="F198" s="70">
        <f>SUM(F162:F189)</f>
        <v>292.3447696306845</v>
      </c>
      <c r="G198" s="70"/>
      <c r="H198" s="70"/>
      <c r="I198" s="70">
        <f>SUM(I162:I195)</f>
        <v>0</v>
      </c>
      <c r="J198" s="70">
        <f>SUM(J162:J195)</f>
        <v>0</v>
      </c>
    </row>
    <row r="199" spans="1:10" ht="15">
      <c r="A199" s="164" t="s">
        <v>323</v>
      </c>
      <c r="B199" s="165"/>
      <c r="C199" s="166"/>
      <c r="D199" s="167"/>
      <c r="E199" s="166"/>
      <c r="F199" s="168">
        <f>F198+F160</f>
        <v>2017.5802767730165</v>
      </c>
      <c r="G199" s="167"/>
      <c r="H199" s="166"/>
      <c r="I199" s="169">
        <f>I198+I160</f>
        <v>6150.58640334</v>
      </c>
      <c r="J199" s="169">
        <f>J198+J160</f>
        <v>3374.6039668400003</v>
      </c>
    </row>
    <row r="200" spans="9:10" ht="15">
      <c r="I200" s="85"/>
      <c r="J200" s="86"/>
    </row>
    <row r="201" spans="1:10" ht="15">
      <c r="A201" s="88"/>
      <c r="B201" s="87"/>
      <c r="C201" s="87"/>
      <c r="D201" s="87"/>
      <c r="E201" s="87"/>
      <c r="F201" s="88"/>
      <c r="G201" s="87"/>
      <c r="H201" s="87"/>
      <c r="I201" s="89"/>
      <c r="J201" s="90"/>
    </row>
    <row r="202" spans="1:10" ht="15">
      <c r="A202" s="71"/>
      <c r="B202" s="71"/>
      <c r="C202" s="71"/>
      <c r="D202" s="72"/>
      <c r="E202" s="72"/>
      <c r="F202" s="71"/>
      <c r="G202" s="72"/>
      <c r="H202" s="91"/>
      <c r="I202" s="72"/>
      <c r="J202" s="71"/>
    </row>
    <row r="203" spans="3:4" ht="15">
      <c r="C203" s="33"/>
      <c r="D203" s="33"/>
    </row>
    <row r="204" ht="15">
      <c r="C204" s="33"/>
    </row>
    <row r="205" ht="15">
      <c r="C205" s="33"/>
    </row>
  </sheetData>
  <sheetProtection/>
  <mergeCells count="77">
    <mergeCell ref="B192:B195"/>
    <mergeCell ref="A161:J161"/>
    <mergeCell ref="A151:A158"/>
    <mergeCell ref="I192:I195"/>
    <mergeCell ref="J192:J195"/>
    <mergeCell ref="F190:F191"/>
    <mergeCell ref="F170:F171"/>
    <mergeCell ref="J100:J101"/>
    <mergeCell ref="J139:J140"/>
    <mergeCell ref="J137:J138"/>
    <mergeCell ref="I100:I101"/>
    <mergeCell ref="I137:I138"/>
    <mergeCell ref="I139:I140"/>
    <mergeCell ref="A145:A148"/>
    <mergeCell ref="E6:E7"/>
    <mergeCell ref="F52:F53"/>
    <mergeCell ref="H40:H41"/>
    <mergeCell ref="H42:H43"/>
    <mergeCell ref="F192:F195"/>
    <mergeCell ref="B36:C36"/>
    <mergeCell ref="C192:C195"/>
    <mergeCell ref="D192:D195"/>
    <mergeCell ref="E192:E195"/>
    <mergeCell ref="A6:A7"/>
    <mergeCell ref="A100:A101"/>
    <mergeCell ref="B86:B87"/>
    <mergeCell ref="D52:D53"/>
    <mergeCell ref="E52:E53"/>
    <mergeCell ref="A58:A61"/>
    <mergeCell ref="D20:D23"/>
    <mergeCell ref="E20:E23"/>
    <mergeCell ref="C6:C7"/>
    <mergeCell ref="A27:A29"/>
    <mergeCell ref="G6:H6"/>
    <mergeCell ref="D6:D7"/>
    <mergeCell ref="F6:F7"/>
    <mergeCell ref="B6:B7"/>
    <mergeCell ref="I20:I23"/>
    <mergeCell ref="J20:J23"/>
    <mergeCell ref="G21:G23"/>
    <mergeCell ref="F20:F23"/>
    <mergeCell ref="A108:A109"/>
    <mergeCell ref="A110:A111"/>
    <mergeCell ref="A112:A113"/>
    <mergeCell ref="A2:J2"/>
    <mergeCell ref="A3:J3"/>
    <mergeCell ref="H21:H23"/>
    <mergeCell ref="B20:B23"/>
    <mergeCell ref="C20:C23"/>
    <mergeCell ref="A104:A105"/>
    <mergeCell ref="I6:J6"/>
    <mergeCell ref="H55:H56"/>
    <mergeCell ref="A55:A56"/>
    <mergeCell ref="A40:A44"/>
    <mergeCell ref="B52:B53"/>
    <mergeCell ref="C52:C53"/>
    <mergeCell ref="H58:H59"/>
    <mergeCell ref="B190:B191"/>
    <mergeCell ref="C190:C191"/>
    <mergeCell ref="D190:D191"/>
    <mergeCell ref="E190:E191"/>
    <mergeCell ref="A86:A87"/>
    <mergeCell ref="E86:E87"/>
    <mergeCell ref="A137:A138"/>
    <mergeCell ref="A139:A140"/>
    <mergeCell ref="A141:A144"/>
    <mergeCell ref="A106:A107"/>
    <mergeCell ref="A127:A128"/>
    <mergeCell ref="A129:A130"/>
    <mergeCell ref="A102:A103"/>
    <mergeCell ref="A132:A133"/>
    <mergeCell ref="A114:A115"/>
    <mergeCell ref="A116:A117"/>
    <mergeCell ref="A118:A119"/>
    <mergeCell ref="A120:A121"/>
    <mergeCell ref="A123:A124"/>
    <mergeCell ref="A125:A126"/>
  </mergeCells>
  <printOptions horizontalCentered="1"/>
  <pageMargins left="0.3937007874015748" right="0.3937007874015748" top="0.3937007874015748" bottom="0.3937007874015748" header="0" footer="0.07874015748031496"/>
  <pageSetup fitToHeight="7" fitToWidth="1" horizontalDpi="600" verticalDpi="600" orientation="landscape" paperSize="9" scale="56" r:id="rId3"/>
  <headerFooter>
    <oddHeader>&amp;R&amp;7&amp;P</oddHeader>
    <oddFooter>&amp;C&amp;6&amp;F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j_klymchuk</dc:creator>
  <cp:keywords/>
  <dc:description/>
  <cp:lastModifiedBy>Тепла Олена Миколаївна</cp:lastModifiedBy>
  <cp:lastPrinted>2019-07-22T13:30:03Z</cp:lastPrinted>
  <dcterms:created xsi:type="dcterms:W3CDTF">2016-02-25T14:42:35Z</dcterms:created>
  <dcterms:modified xsi:type="dcterms:W3CDTF">2019-08-20T11:30:48Z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ac3a6439-feea-4c4f-a1a1-e8555ca31386</vt:lpwstr>
  </property>
  <property fmtid="{D5CDD505-2E9C-101B-9397-08002B2CF9AE}" pid="4" name="_dlc_DocId">
    <vt:lpwstr>MFWF-347-116189</vt:lpwstr>
  </property>
  <property fmtid="{D5CDD505-2E9C-101B-9397-08002B2CF9AE}" pid="5" name="_dlc_DocIdUrl">
    <vt:lpwstr>http://workflow/12000/12100/12130/_layouts/DocIdRedir.aspx?ID=MFWF-347-116189, MFWF-347-116189</vt:lpwstr>
  </property>
</Properties>
</file>