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120" yWindow="50" windowWidth="15480" windowHeight="11640" tabRatio="917" firstSheet="6" activeTab="48"/>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D30" i="59"/>
  <c r="C30" i="59"/>
  <c r="B30" i="59"/>
  <c r="B29" i="59"/>
  <c r="C28" i="59"/>
  <c r="B28" i="59"/>
  <c r="B27" i="59"/>
  <c r="B26" i="59"/>
  <c r="B25" i="59"/>
  <c r="B24" i="59"/>
  <c r="B23" i="59"/>
  <c r="C22" i="59"/>
  <c r="B22" i="59"/>
  <c r="B21" i="59"/>
  <c r="B20" i="59"/>
  <c r="B19" i="59"/>
  <c r="B18" i="59"/>
  <c r="B17" i="59"/>
  <c r="F16" i="59"/>
  <c r="E16" i="59"/>
  <c r="D16" i="59"/>
  <c r="C16" i="59"/>
  <c r="B16" i="59"/>
  <c r="F15" i="59"/>
  <c r="C15" i="59"/>
  <c r="B15" i="59"/>
  <c r="E8" i="59"/>
  <c r="D8" i="59"/>
  <c r="C8" i="59"/>
  <c r="E7" i="59"/>
  <c r="E5" i="59"/>
  <c r="D7" i="59"/>
  <c r="C7" i="59"/>
  <c r="C5" i="59"/>
  <c r="G5" i="59"/>
  <c r="F5" i="59"/>
  <c r="D5" i="59"/>
  <c r="E1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D8" i="55"/>
  <c r="C8" i="55"/>
  <c r="B8" i="55"/>
  <c r="A4" i="55"/>
  <c r="A3" i="55"/>
  <c r="D6" i="23"/>
  <c r="C6" i="23"/>
  <c r="B6" i="23"/>
  <c r="A6" i="23"/>
  <c r="C5" i="23"/>
  <c r="B5" i="23"/>
  <c r="A2" i="23"/>
  <c r="I7" i="26"/>
  <c r="G7" i="26"/>
  <c r="F7" i="26"/>
  <c r="E7" i="26"/>
  <c r="D7" i="26"/>
  <c r="C7" i="26"/>
  <c r="B7" i="26"/>
  <c r="A7" i="26"/>
  <c r="I6" i="26"/>
  <c r="F6" i="26"/>
  <c r="E6" i="26"/>
  <c r="C6" i="26"/>
  <c r="B6" i="26"/>
  <c r="A2" i="26"/>
  <c r="G129" i="29"/>
  <c r="F129" i="29"/>
  <c r="E129" i="29"/>
  <c r="D129" i="29"/>
  <c r="C129" i="29"/>
  <c r="B129" i="29"/>
  <c r="G126" i="29"/>
  <c r="F126" i="29"/>
  <c r="E126" i="29"/>
  <c r="D126" i="29"/>
  <c r="C126" i="29"/>
  <c r="B126" i="29"/>
  <c r="G123" i="29"/>
  <c r="F123" i="29"/>
  <c r="E123" i="29"/>
  <c r="D123" i="29"/>
  <c r="C123" i="29"/>
  <c r="B123" i="29"/>
  <c r="G120" i="29"/>
  <c r="F120" i="29"/>
  <c r="E120" i="29"/>
  <c r="D120" i="29"/>
  <c r="C120" i="29"/>
  <c r="B120" i="29"/>
  <c r="G113" i="29"/>
  <c r="F113" i="29"/>
  <c r="F112" i="29"/>
  <c r="E113" i="29"/>
  <c r="E112" i="29"/>
  <c r="D113" i="29"/>
  <c r="C113" i="29"/>
  <c r="B113" i="29"/>
  <c r="B112" i="29"/>
  <c r="G112" i="29"/>
  <c r="D112" i="29"/>
  <c r="C112" i="29"/>
  <c r="G110" i="29"/>
  <c r="F110" i="29"/>
  <c r="E110" i="29"/>
  <c r="D110" i="29"/>
  <c r="C110" i="29"/>
  <c r="B110" i="29"/>
  <c r="G100" i="29"/>
  <c r="F100" i="29"/>
  <c r="E100" i="29"/>
  <c r="D100" i="29"/>
  <c r="D91" i="29"/>
  <c r="D90" i="29"/>
  <c r="D6" i="29"/>
  <c r="C100" i="29"/>
  <c r="B100" i="29"/>
  <c r="G92" i="29"/>
  <c r="F92" i="29"/>
  <c r="F91" i="29"/>
  <c r="F90" i="29"/>
  <c r="F6" i="29"/>
  <c r="E92" i="29"/>
  <c r="E91" i="29"/>
  <c r="D92" i="29"/>
  <c r="C92" i="29"/>
  <c r="B92" i="29"/>
  <c r="B91" i="29"/>
  <c r="B90" i="29"/>
  <c r="B6" i="29"/>
  <c r="G91" i="29"/>
  <c r="G90" i="29"/>
  <c r="C91" i="29"/>
  <c r="C90" i="29"/>
  <c r="G88" i="29"/>
  <c r="F88" i="29"/>
  <c r="E88" i="29"/>
  <c r="D88" i="29"/>
  <c r="C88" i="29"/>
  <c r="B88" i="29"/>
  <c r="G86" i="29"/>
  <c r="F86" i="29"/>
  <c r="E86" i="29"/>
  <c r="D86" i="29"/>
  <c r="C86" i="29"/>
  <c r="B86" i="29"/>
  <c r="G77" i="29"/>
  <c r="F77" i="29"/>
  <c r="E77" i="29"/>
  <c r="D77" i="29"/>
  <c r="C77" i="29"/>
  <c r="B77" i="29"/>
  <c r="G70" i="29"/>
  <c r="F70" i="29"/>
  <c r="E70" i="29"/>
  <c r="D70" i="29"/>
  <c r="C70" i="29"/>
  <c r="B70" i="29"/>
  <c r="G68" i="29"/>
  <c r="F68" i="29"/>
  <c r="E68" i="29"/>
  <c r="D68" i="29"/>
  <c r="C68" i="29"/>
  <c r="B68" i="29"/>
  <c r="G57" i="29"/>
  <c r="F57" i="29"/>
  <c r="E57" i="29"/>
  <c r="D57" i="29"/>
  <c r="C57" i="29"/>
  <c r="B57" i="29"/>
  <c r="B46" i="29"/>
  <c r="B7" i="29"/>
  <c r="G47" i="29"/>
  <c r="G46" i="29"/>
  <c r="F47" i="29"/>
  <c r="E47" i="29"/>
  <c r="D47" i="29"/>
  <c r="D46" i="29"/>
  <c r="C47" i="29"/>
  <c r="C46" i="29"/>
  <c r="B47" i="29"/>
  <c r="F46" i="29"/>
  <c r="F7" i="29"/>
  <c r="E46" i="29"/>
  <c r="G44" i="29"/>
  <c r="F44" i="29"/>
  <c r="E44" i="29"/>
  <c r="D44" i="29"/>
  <c r="C44" i="29"/>
  <c r="B44" i="29"/>
  <c r="G9" i="29"/>
  <c r="F9" i="29"/>
  <c r="F8" i="29"/>
  <c r="E9" i="29"/>
  <c r="E8" i="29"/>
  <c r="E7" i="29"/>
  <c r="D9" i="29"/>
  <c r="C9" i="29"/>
  <c r="B9" i="29"/>
  <c r="B8" i="29"/>
  <c r="G8" i="29"/>
  <c r="G7" i="29"/>
  <c r="D8" i="29"/>
  <c r="D7" i="29"/>
  <c r="C8" i="29"/>
  <c r="C7" i="29"/>
  <c r="A6" i="29"/>
  <c r="G4" i="29"/>
  <c r="A2" i="29"/>
  <c r="G129" i="30"/>
  <c r="F129" i="30"/>
  <c r="E129" i="30"/>
  <c r="D129" i="30"/>
  <c r="C129" i="30"/>
  <c r="B129" i="30"/>
  <c r="G126" i="30"/>
  <c r="F126" i="30"/>
  <c r="E126" i="30"/>
  <c r="D126" i="30"/>
  <c r="C126" i="30"/>
  <c r="B126" i="30"/>
  <c r="G123" i="30"/>
  <c r="F123" i="30"/>
  <c r="E123" i="30"/>
  <c r="D123" i="30"/>
  <c r="C123" i="30"/>
  <c r="B123" i="30"/>
  <c r="G120" i="30"/>
  <c r="F120" i="30"/>
  <c r="E120" i="30"/>
  <c r="D120" i="30"/>
  <c r="C120" i="30"/>
  <c r="B120" i="30"/>
  <c r="G113" i="30"/>
  <c r="F113" i="30"/>
  <c r="E113" i="30"/>
  <c r="E112" i="30"/>
  <c r="D113" i="30"/>
  <c r="D112" i="30"/>
  <c r="C113" i="30"/>
  <c r="B113" i="30"/>
  <c r="G112" i="30"/>
  <c r="F112" i="30"/>
  <c r="C112" i="30"/>
  <c r="B112" i="30"/>
  <c r="G110" i="30"/>
  <c r="F110" i="30"/>
  <c r="E110" i="30"/>
  <c r="D110" i="30"/>
  <c r="C110" i="30"/>
  <c r="B110" i="30"/>
  <c r="G100" i="30"/>
  <c r="F100" i="30"/>
  <c r="E100" i="30"/>
  <c r="D100" i="30"/>
  <c r="C100" i="30"/>
  <c r="C91" i="30"/>
  <c r="C90" i="30"/>
  <c r="C6" i="30"/>
  <c r="B100" i="30"/>
  <c r="G92" i="30"/>
  <c r="F92" i="30"/>
  <c r="E92" i="30"/>
  <c r="E91" i="30"/>
  <c r="E90" i="30"/>
  <c r="E6" i="30"/>
  <c r="D92" i="30"/>
  <c r="D91" i="30"/>
  <c r="D90" i="30"/>
  <c r="C92" i="30"/>
  <c r="B92" i="30"/>
  <c r="G91" i="30"/>
  <c r="G90" i="30"/>
  <c r="G6" i="30"/>
  <c r="F91" i="30"/>
  <c r="F90" i="30"/>
  <c r="B91" i="30"/>
  <c r="B90" i="30"/>
  <c r="G88" i="30"/>
  <c r="F88" i="30"/>
  <c r="E88" i="30"/>
  <c r="D88" i="30"/>
  <c r="C88" i="30"/>
  <c r="B88" i="30"/>
  <c r="G86" i="30"/>
  <c r="F86" i="30"/>
  <c r="E86" i="30"/>
  <c r="D86" i="30"/>
  <c r="C86" i="30"/>
  <c r="B86" i="30"/>
  <c r="G77" i="30"/>
  <c r="F77" i="30"/>
  <c r="E77" i="30"/>
  <c r="D77" i="30"/>
  <c r="C77" i="30"/>
  <c r="B77" i="30"/>
  <c r="G70" i="30"/>
  <c r="F70" i="30"/>
  <c r="E70" i="30"/>
  <c r="D70" i="30"/>
  <c r="C70" i="30"/>
  <c r="B70" i="30"/>
  <c r="G68" i="30"/>
  <c r="F68" i="30"/>
  <c r="E68" i="30"/>
  <c r="D68" i="30"/>
  <c r="C68" i="30"/>
  <c r="B68" i="30"/>
  <c r="G57" i="30"/>
  <c r="F57" i="30"/>
  <c r="E57" i="30"/>
  <c r="E46" i="30"/>
  <c r="E7" i="30"/>
  <c r="D57" i="30"/>
  <c r="C57" i="30"/>
  <c r="B57" i="30"/>
  <c r="G47" i="30"/>
  <c r="G46" i="30"/>
  <c r="F47" i="30"/>
  <c r="F46" i="30"/>
  <c r="E47" i="30"/>
  <c r="D47" i="30"/>
  <c r="C47" i="30"/>
  <c r="C46" i="30"/>
  <c r="B47" i="30"/>
  <c r="B46" i="30"/>
  <c r="D46" i="30"/>
  <c r="G44" i="30"/>
  <c r="F44" i="30"/>
  <c r="E44" i="30"/>
  <c r="D44" i="30"/>
  <c r="C44" i="30"/>
  <c r="C8" i="30"/>
  <c r="C7" i="30"/>
  <c r="B44" i="30"/>
  <c r="G9" i="30"/>
  <c r="F9" i="30"/>
  <c r="E9" i="30"/>
  <c r="E8" i="30"/>
  <c r="D9" i="30"/>
  <c r="D8" i="30"/>
  <c r="D7" i="30"/>
  <c r="C9" i="30"/>
  <c r="B9" i="30"/>
  <c r="G8" i="30"/>
  <c r="G7" i="30"/>
  <c r="F8" i="30"/>
  <c r="F7" i="30"/>
  <c r="B8" i="30"/>
  <c r="B7" i="30"/>
  <c r="A6" i="30"/>
  <c r="G4" i="30"/>
  <c r="A2" i="30"/>
  <c r="G18" i="68"/>
  <c r="F18" i="68"/>
  <c r="E18" i="68"/>
  <c r="D18" i="68"/>
  <c r="C18" i="68"/>
  <c r="B18" i="68"/>
  <c r="A18" i="68"/>
  <c r="G12" i="68"/>
  <c r="F12" i="68"/>
  <c r="E12" i="68"/>
  <c r="D12" i="68"/>
  <c r="C12" i="68"/>
  <c r="B12" i="68"/>
  <c r="A12" i="68"/>
  <c r="G6" i="68"/>
  <c r="F6" i="68"/>
  <c r="E6" i="68"/>
  <c r="D6" i="68"/>
  <c r="C6" i="68"/>
  <c r="B6" i="68"/>
  <c r="A6" i="68"/>
  <c r="G4" i="68"/>
  <c r="A2" i="68"/>
  <c r="G20" i="69"/>
  <c r="F20" i="69"/>
  <c r="E20" i="69"/>
  <c r="D20" i="69"/>
  <c r="C20" i="69"/>
  <c r="B20" i="69"/>
  <c r="A20" i="69"/>
  <c r="G19" i="69"/>
  <c r="G18" i="69"/>
  <c r="F19" i="69"/>
  <c r="E19" i="69"/>
  <c r="D19" i="69"/>
  <c r="D18" i="69"/>
  <c r="C19" i="69"/>
  <c r="C18" i="69"/>
  <c r="B19" i="69"/>
  <c r="A19" i="69"/>
  <c r="F18" i="69"/>
  <c r="E18" i="69"/>
  <c r="B18" i="69"/>
  <c r="A18" i="69"/>
  <c r="G17" i="69"/>
  <c r="F17" i="69"/>
  <c r="E17" i="69"/>
  <c r="D17" i="69"/>
  <c r="C17" i="69"/>
  <c r="B17" i="69"/>
  <c r="G14" i="69"/>
  <c r="F14" i="69"/>
  <c r="E14" i="69"/>
  <c r="D14" i="69"/>
  <c r="C14" i="69"/>
  <c r="B14" i="69"/>
  <c r="A14" i="69"/>
  <c r="G13" i="69"/>
  <c r="G12" i="69"/>
  <c r="F13" i="69"/>
  <c r="F12" i="69"/>
  <c r="E13" i="69"/>
  <c r="D13" i="69"/>
  <c r="C13" i="69"/>
  <c r="C12" i="69"/>
  <c r="B13" i="69"/>
  <c r="B12" i="69"/>
  <c r="A13" i="69"/>
  <c r="E12" i="69"/>
  <c r="D12" i="69"/>
  <c r="A12" i="69"/>
  <c r="G11" i="69"/>
  <c r="F11" i="69"/>
  <c r="E11" i="69"/>
  <c r="D11" i="69"/>
  <c r="C11" i="69"/>
  <c r="B11" i="69"/>
  <c r="G8" i="69"/>
  <c r="F8" i="69"/>
  <c r="E8" i="69"/>
  <c r="D8" i="69"/>
  <c r="C8" i="69"/>
  <c r="B8" i="69"/>
  <c r="A8" i="69"/>
  <c r="G7" i="69"/>
  <c r="G6" i="69"/>
  <c r="F7" i="69"/>
  <c r="F6" i="69"/>
  <c r="E7" i="69"/>
  <c r="D7" i="69"/>
  <c r="C7" i="69"/>
  <c r="C6" i="69"/>
  <c r="B7" i="69"/>
  <c r="B6" i="69"/>
  <c r="A7" i="69"/>
  <c r="E6" i="69"/>
  <c r="D6" i="69"/>
  <c r="A6" i="69"/>
  <c r="G5" i="69"/>
  <c r="F5" i="69"/>
  <c r="E5" i="69"/>
  <c r="D5" i="69"/>
  <c r="C5" i="69"/>
  <c r="B5" i="69"/>
  <c r="G4" i="69"/>
  <c r="A2" i="69"/>
  <c r="G20" i="49"/>
  <c r="F20" i="49"/>
  <c r="E20" i="49"/>
  <c r="D20" i="49"/>
  <c r="C20" i="49"/>
  <c r="B20" i="49"/>
  <c r="A20" i="49"/>
  <c r="G19" i="49"/>
  <c r="G18" i="49"/>
  <c r="F19" i="49"/>
  <c r="E19" i="49"/>
  <c r="D19" i="49"/>
  <c r="D18" i="49"/>
  <c r="C19" i="49"/>
  <c r="C18" i="49"/>
  <c r="B19" i="49"/>
  <c r="A19" i="49"/>
  <c r="F18" i="49"/>
  <c r="E18" i="49"/>
  <c r="B18" i="49"/>
  <c r="A18" i="49"/>
  <c r="G17" i="49"/>
  <c r="F17" i="49"/>
  <c r="E17" i="49"/>
  <c r="D17" i="49"/>
  <c r="C17" i="49"/>
  <c r="B17" i="49"/>
  <c r="G14" i="49"/>
  <c r="F14" i="49"/>
  <c r="E14" i="49"/>
  <c r="D14" i="49"/>
  <c r="C14" i="49"/>
  <c r="B14" i="49"/>
  <c r="A14" i="49"/>
  <c r="G13" i="49"/>
  <c r="G12" i="49"/>
  <c r="F13" i="49"/>
  <c r="F12" i="49"/>
  <c r="E13" i="49"/>
  <c r="D13" i="49"/>
  <c r="C13" i="49"/>
  <c r="C12" i="49"/>
  <c r="B13" i="49"/>
  <c r="B12" i="49"/>
  <c r="A13" i="49"/>
  <c r="E12" i="49"/>
  <c r="D12" i="49"/>
  <c r="A12" i="49"/>
  <c r="G11" i="49"/>
  <c r="F11" i="49"/>
  <c r="E11" i="49"/>
  <c r="D11" i="49"/>
  <c r="C11" i="49"/>
  <c r="B11" i="49"/>
  <c r="G8" i="49"/>
  <c r="F8" i="49"/>
  <c r="E8" i="49"/>
  <c r="D8" i="49"/>
  <c r="C8" i="49"/>
  <c r="B8" i="49"/>
  <c r="A8" i="49"/>
  <c r="G7" i="49"/>
  <c r="G6" i="49"/>
  <c r="F7" i="49"/>
  <c r="F6" i="49"/>
  <c r="E7" i="49"/>
  <c r="D7" i="49"/>
  <c r="C7" i="49"/>
  <c r="C6" i="49"/>
  <c r="B7" i="49"/>
  <c r="B6" i="49"/>
  <c r="A7" i="49"/>
  <c r="E6" i="49"/>
  <c r="D6" i="49"/>
  <c r="A6" i="49"/>
  <c r="G5" i="49"/>
  <c r="F5" i="49"/>
  <c r="E5" i="49"/>
  <c r="D5" i="49"/>
  <c r="C5" i="49"/>
  <c r="B5" i="49"/>
  <c r="G4" i="49"/>
  <c r="A2" i="49"/>
  <c r="G18" i="32"/>
  <c r="F18" i="32"/>
  <c r="E18" i="32"/>
  <c r="D18" i="32"/>
  <c r="C18" i="32"/>
  <c r="B18" i="32"/>
  <c r="A18" i="32"/>
  <c r="G12" i="32"/>
  <c r="F12" i="32"/>
  <c r="E12" i="32"/>
  <c r="D12" i="32"/>
  <c r="C12" i="32"/>
  <c r="B12" i="32"/>
  <c r="A12" i="32"/>
  <c r="G6" i="32"/>
  <c r="F6" i="32"/>
  <c r="E6" i="32"/>
  <c r="D6" i="32"/>
  <c r="C6" i="32"/>
  <c r="B6" i="32"/>
  <c r="A6" i="32"/>
  <c r="G4" i="32"/>
  <c r="A4" i="32"/>
  <c r="A2" i="32"/>
  <c r="D17" i="65"/>
  <c r="C17" i="65"/>
  <c r="C8" i="65"/>
  <c r="B17" i="65"/>
  <c r="B8" i="65"/>
  <c r="D9" i="65"/>
  <c r="C9" i="65"/>
  <c r="B9" i="65"/>
  <c r="D8" i="65"/>
  <c r="A8" i="65"/>
  <c r="C7" i="65"/>
  <c r="B7" i="65"/>
  <c r="A4" i="65"/>
  <c r="A3" i="65"/>
  <c r="D7" i="18"/>
  <c r="C7" i="18"/>
  <c r="B7" i="18"/>
  <c r="A7" i="18"/>
  <c r="C6" i="18"/>
  <c r="B6" i="18"/>
  <c r="D5" i="18"/>
  <c r="A3" i="18"/>
  <c r="A2" i="18"/>
  <c r="D111" i="16"/>
  <c r="C111" i="16"/>
  <c r="B111" i="16"/>
  <c r="D109" i="16"/>
  <c r="C109" i="16"/>
  <c r="B109" i="16"/>
  <c r="B96" i="16"/>
  <c r="D107" i="16"/>
  <c r="C107" i="16"/>
  <c r="B107" i="16"/>
  <c r="D104" i="16"/>
  <c r="C104" i="16"/>
  <c r="B104" i="16"/>
  <c r="D97" i="16"/>
  <c r="C97" i="16"/>
  <c r="C96" i="16"/>
  <c r="B97" i="16"/>
  <c r="D94" i="16"/>
  <c r="C94" i="16"/>
  <c r="B94" i="16"/>
  <c r="D92" i="16"/>
  <c r="C92" i="16"/>
  <c r="B92" i="16"/>
  <c r="D90" i="16"/>
  <c r="C90" i="16"/>
  <c r="B90" i="16"/>
  <c r="D83" i="16"/>
  <c r="C83" i="16"/>
  <c r="B83" i="16"/>
  <c r="D81" i="16"/>
  <c r="C81" i="16"/>
  <c r="B81" i="16"/>
  <c r="D70" i="16"/>
  <c r="C70" i="16"/>
  <c r="B70" i="16"/>
  <c r="D60" i="16"/>
  <c r="D59" i="16"/>
  <c r="C60" i="16"/>
  <c r="C59" i="16"/>
  <c r="B60" i="16"/>
  <c r="B59" i="16"/>
  <c r="B58" i="16"/>
  <c r="D56" i="16"/>
  <c r="D43" i="16"/>
  <c r="C56" i="16"/>
  <c r="B56" i="16"/>
  <c r="D48" i="16"/>
  <c r="C48" i="16"/>
  <c r="B48" i="16"/>
  <c r="D44" i="16"/>
  <c r="C44" i="16"/>
  <c r="C43" i="16"/>
  <c r="B44" i="16"/>
  <c r="B43" i="16"/>
  <c r="D41" i="16"/>
  <c r="C41" i="16"/>
  <c r="B41" i="16"/>
  <c r="D10" i="16"/>
  <c r="D9" i="16"/>
  <c r="D8" i="16"/>
  <c r="C10" i="16"/>
  <c r="C9" i="16"/>
  <c r="B10" i="16"/>
  <c r="B9" i="16"/>
  <c r="B8" i="16"/>
  <c r="B7" i="16"/>
  <c r="A7" i="16"/>
  <c r="C6" i="16"/>
  <c r="B6" i="16"/>
  <c r="A3" i="16"/>
  <c r="A2" i="16"/>
  <c r="D111" i="14"/>
  <c r="C111" i="14"/>
  <c r="B111" i="14"/>
  <c r="D109" i="14"/>
  <c r="C109" i="14"/>
  <c r="B109" i="14"/>
  <c r="D107" i="14"/>
  <c r="C107" i="14"/>
  <c r="C96" i="14"/>
  <c r="B107" i="14"/>
  <c r="D104" i="14"/>
  <c r="C104" i="14"/>
  <c r="B104" i="14"/>
  <c r="D97" i="14"/>
  <c r="C97" i="14"/>
  <c r="B97" i="14"/>
  <c r="D96" i="14"/>
  <c r="D94" i="14"/>
  <c r="C94" i="14"/>
  <c r="C81" i="14"/>
  <c r="C80" i="14"/>
  <c r="B94" i="14"/>
  <c r="D86" i="14"/>
  <c r="C86" i="14"/>
  <c r="B86" i="14"/>
  <c r="D82" i="14"/>
  <c r="C82" i="14"/>
  <c r="B82" i="14"/>
  <c r="D81" i="14"/>
  <c r="D80" i="14"/>
  <c r="D78" i="14"/>
  <c r="C78" i="14"/>
  <c r="B78" i="14"/>
  <c r="D76" i="14"/>
  <c r="C76" i="14"/>
  <c r="B76" i="14"/>
  <c r="D74" i="14"/>
  <c r="C74" i="14"/>
  <c r="B74" i="14"/>
  <c r="D67" i="14"/>
  <c r="C67" i="14"/>
  <c r="C43" i="14"/>
  <c r="B67" i="14"/>
  <c r="D65" i="14"/>
  <c r="C65" i="14"/>
  <c r="B65" i="14"/>
  <c r="B43" i="14"/>
  <c r="D54" i="14"/>
  <c r="C54" i="14"/>
  <c r="B54" i="14"/>
  <c r="D44" i="14"/>
  <c r="D43" i="14"/>
  <c r="C44" i="14"/>
  <c r="B44" i="14"/>
  <c r="D41" i="14"/>
  <c r="C41" i="14"/>
  <c r="B41" i="14"/>
  <c r="D10" i="14"/>
  <c r="C10" i="14"/>
  <c r="B10" i="14"/>
  <c r="D9" i="14"/>
  <c r="C9" i="14"/>
  <c r="C8" i="14"/>
  <c r="A7" i="14"/>
  <c r="A3" i="14"/>
  <c r="A2" i="14"/>
  <c r="D25" i="17"/>
  <c r="C25" i="17"/>
  <c r="B25" i="17"/>
  <c r="D21" i="17"/>
  <c r="D20" i="17"/>
  <c r="C21" i="17"/>
  <c r="B21" i="17"/>
  <c r="C20" i="17"/>
  <c r="B20" i="17"/>
  <c r="D12" i="17"/>
  <c r="C12" i="17"/>
  <c r="B12" i="17"/>
  <c r="D9" i="17"/>
  <c r="C9" i="17"/>
  <c r="B9" i="17"/>
  <c r="B8" i="17"/>
  <c r="B7" i="17"/>
  <c r="D8" i="17"/>
  <c r="C8" i="17"/>
  <c r="C7" i="17"/>
  <c r="A7" i="17"/>
  <c r="C6" i="17"/>
  <c r="B6" i="17"/>
  <c r="A3" i="17"/>
  <c r="A2" i="17"/>
  <c r="N35" i="42"/>
  <c r="N26" i="42"/>
  <c r="M35" i="42"/>
  <c r="M26" i="42"/>
  <c r="L35" i="42"/>
  <c r="K35" i="42"/>
  <c r="J35" i="42"/>
  <c r="J26" i="42"/>
  <c r="I35" i="42"/>
  <c r="I26" i="42"/>
  <c r="H35" i="42"/>
  <c r="G35" i="42"/>
  <c r="F35" i="42"/>
  <c r="F26" i="42"/>
  <c r="E35" i="42"/>
  <c r="E26" i="42"/>
  <c r="D35" i="42"/>
  <c r="C35" i="42"/>
  <c r="B35" i="42"/>
  <c r="B26" i="42"/>
  <c r="N27" i="42"/>
  <c r="M27" i="42"/>
  <c r="L27" i="42"/>
  <c r="K27" i="42"/>
  <c r="K26" i="42"/>
  <c r="J27" i="42"/>
  <c r="I27" i="42"/>
  <c r="H27" i="42"/>
  <c r="G27" i="42"/>
  <c r="G26" i="42"/>
  <c r="F27" i="42"/>
  <c r="E27" i="42"/>
  <c r="D27" i="42"/>
  <c r="C27" i="42"/>
  <c r="C26" i="42"/>
  <c r="B27" i="42"/>
  <c r="L26" i="42"/>
  <c r="H26" i="42"/>
  <c r="D26" i="42"/>
  <c r="A26" i="42"/>
  <c r="N25" i="42"/>
  <c r="L25" i="42"/>
  <c r="K25" i="42"/>
  <c r="J25" i="42"/>
  <c r="I25" i="42"/>
  <c r="H25" i="42"/>
  <c r="F25" i="42"/>
  <c r="E25" i="42"/>
  <c r="D25" i="42"/>
  <c r="C25" i="42"/>
  <c r="B25" i="42"/>
  <c r="M7" i="42"/>
  <c r="L7" i="42"/>
  <c r="K7" i="42"/>
  <c r="G7" i="42"/>
  <c r="F7" i="42"/>
  <c r="E7" i="42"/>
  <c r="A7" i="42"/>
  <c r="N6" i="42"/>
  <c r="L6" i="42"/>
  <c r="K6" i="42"/>
  <c r="J6" i="42"/>
  <c r="I6" i="42"/>
  <c r="H6" i="42"/>
  <c r="F6" i="42"/>
  <c r="E6" i="42"/>
  <c r="D6" i="42"/>
  <c r="C6" i="42"/>
  <c r="B6" i="42"/>
  <c r="A2" i="42"/>
  <c r="N7" i="45"/>
  <c r="M7" i="45"/>
  <c r="L7" i="45"/>
  <c r="K7" i="45"/>
  <c r="G7" i="45"/>
  <c r="F7" i="45"/>
  <c r="E7" i="45"/>
  <c r="A7" i="45"/>
  <c r="N6" i="45"/>
  <c r="L6" i="45"/>
  <c r="K6" i="45"/>
  <c r="J6" i="45"/>
  <c r="I6" i="45"/>
  <c r="H6" i="45"/>
  <c r="F6" i="45"/>
  <c r="E6" i="45"/>
  <c r="D6" i="45"/>
  <c r="C6" i="45"/>
  <c r="B6" i="45"/>
  <c r="N4" i="45"/>
  <c r="A2" i="45"/>
  <c r="H33" i="3"/>
  <c r="G33" i="3"/>
  <c r="F33" i="3"/>
  <c r="F24" i="3"/>
  <c r="E33" i="3"/>
  <c r="E24" i="3"/>
  <c r="D33" i="3"/>
  <c r="C33" i="3"/>
  <c r="B33" i="3"/>
  <c r="B24" i="3"/>
  <c r="H25" i="3"/>
  <c r="G25" i="3"/>
  <c r="G24" i="3"/>
  <c r="F25" i="3"/>
  <c r="E25" i="3"/>
  <c r="D25" i="3"/>
  <c r="C25" i="3"/>
  <c r="C24" i="3"/>
  <c r="B25" i="3"/>
  <c r="H24" i="3"/>
  <c r="D24" i="3"/>
  <c r="A24" i="3"/>
  <c r="H23" i="3"/>
  <c r="F23" i="3"/>
  <c r="E23" i="3"/>
  <c r="C23" i="3"/>
  <c r="B23" i="3"/>
  <c r="H8" i="3"/>
  <c r="G8" i="3"/>
  <c r="F8" i="3"/>
  <c r="E8" i="3"/>
  <c r="D8" i="3"/>
  <c r="C8" i="3"/>
  <c r="B8" i="3"/>
  <c r="A8" i="3"/>
  <c r="H7" i="3"/>
  <c r="F7" i="3"/>
  <c r="E7" i="3"/>
  <c r="C7" i="3"/>
  <c r="B7" i="3"/>
  <c r="A2" i="3"/>
  <c r="D32" i="6"/>
  <c r="C32" i="6"/>
  <c r="B32" i="6"/>
  <c r="D24" i="6"/>
  <c r="C24" i="6"/>
  <c r="B24" i="6"/>
  <c r="B23" i="6"/>
  <c r="C23" i="6"/>
  <c r="A23" i="6"/>
  <c r="C22" i="6"/>
  <c r="B22" i="6"/>
  <c r="A20" i="6"/>
  <c r="D7" i="6"/>
  <c r="C7" i="6"/>
  <c r="B7" i="6"/>
  <c r="A7" i="6"/>
  <c r="C6" i="6"/>
  <c r="B6" i="6"/>
  <c r="A3" i="6"/>
  <c r="A2" i="6"/>
  <c r="D7" i="44"/>
  <c r="C7" i="44"/>
  <c r="B7" i="44"/>
  <c r="A7" i="44"/>
  <c r="C6" i="44"/>
  <c r="B6" i="44"/>
  <c r="A3" i="44"/>
  <c r="A2" i="44"/>
  <c r="H30" i="13"/>
  <c r="H20" i="13"/>
  <c r="G30" i="13"/>
  <c r="F30" i="13"/>
  <c r="E30" i="13"/>
  <c r="E20" i="13"/>
  <c r="D30" i="13"/>
  <c r="D20" i="13"/>
  <c r="C30" i="13"/>
  <c r="B30" i="13"/>
  <c r="H21" i="13"/>
  <c r="G21" i="13"/>
  <c r="F21" i="13"/>
  <c r="F20" i="13"/>
  <c r="E21" i="13"/>
  <c r="D21" i="13"/>
  <c r="C21" i="13"/>
  <c r="B21" i="13"/>
  <c r="B20" i="13"/>
  <c r="G20" i="13"/>
  <c r="C20" i="13"/>
  <c r="A20" i="13"/>
  <c r="H19" i="13"/>
  <c r="F19" i="13"/>
  <c r="E19" i="13"/>
  <c r="C19" i="13"/>
  <c r="B19" i="13"/>
  <c r="H17" i="13"/>
  <c r="H7" i="13"/>
  <c r="G7" i="13"/>
  <c r="F7" i="13"/>
  <c r="E7" i="13"/>
  <c r="D7" i="13"/>
  <c r="C7" i="13"/>
  <c r="B7" i="13"/>
  <c r="A7" i="13"/>
  <c r="H6" i="13"/>
  <c r="F6" i="13"/>
  <c r="E6" i="13"/>
  <c r="C6" i="13"/>
  <c r="B6" i="13"/>
  <c r="A2" i="13"/>
  <c r="D32" i="12"/>
  <c r="D22" i="12"/>
  <c r="C32" i="12"/>
  <c r="C22" i="12"/>
  <c r="B32" i="12"/>
  <c r="D23" i="12"/>
  <c r="C23" i="12"/>
  <c r="B23" i="12"/>
  <c r="B22" i="12"/>
  <c r="A22" i="12"/>
  <c r="C21" i="12"/>
  <c r="B21" i="12"/>
  <c r="D20" i="12"/>
  <c r="B20" i="12"/>
  <c r="A19" i="12"/>
  <c r="D7" i="12"/>
  <c r="C7" i="12"/>
  <c r="B7" i="12"/>
  <c r="A7" i="12"/>
  <c r="C6" i="12"/>
  <c r="B6" i="12"/>
  <c r="D5" i="12"/>
  <c r="A3" i="12"/>
  <c r="A2" i="12"/>
  <c r="D7" i="46"/>
  <c r="C7" i="46"/>
  <c r="B7" i="46"/>
  <c r="A7" i="46"/>
  <c r="C6" i="46"/>
  <c r="B6" i="46"/>
  <c r="A3" i="46"/>
  <c r="A2" i="46"/>
  <c r="D18" i="43"/>
  <c r="C18" i="43"/>
  <c r="B18" i="43"/>
  <c r="D15" i="43"/>
  <c r="C15" i="43"/>
  <c r="B15" i="43"/>
  <c r="C14" i="43"/>
  <c r="B14" i="43"/>
  <c r="A14" i="43"/>
  <c r="C13" i="43"/>
  <c r="B13" i="43"/>
  <c r="D12" i="43"/>
  <c r="A11" i="43"/>
  <c r="D9" i="43"/>
  <c r="C9" i="43"/>
  <c r="B9" i="43"/>
  <c r="A9" i="43"/>
  <c r="D8" i="43"/>
  <c r="C8" i="43"/>
  <c r="B8" i="43"/>
  <c r="A8" i="43"/>
  <c r="D7" i="43"/>
  <c r="C7" i="43"/>
  <c r="B7" i="43"/>
  <c r="A7" i="43"/>
  <c r="C6" i="43"/>
  <c r="B6" i="43"/>
  <c r="D5" i="43"/>
  <c r="A3" i="43"/>
  <c r="A2" i="43"/>
  <c r="D6" i="47"/>
  <c r="C6" i="47"/>
  <c r="B6" i="47"/>
  <c r="A6" i="47"/>
  <c r="C5" i="47"/>
  <c r="B5" i="47"/>
  <c r="A2" i="47"/>
  <c r="D18" i="19"/>
  <c r="C18" i="19"/>
  <c r="B18" i="19"/>
  <c r="A18" i="19"/>
  <c r="D12" i="19"/>
  <c r="C12" i="19"/>
  <c r="B12" i="19"/>
  <c r="A12" i="19"/>
  <c r="D10" i="19"/>
  <c r="D6" i="19"/>
  <c r="C6" i="19"/>
  <c r="B6" i="19"/>
  <c r="A6" i="19"/>
  <c r="D4" i="19"/>
  <c r="A2" i="19"/>
  <c r="D20" i="61"/>
  <c r="C20" i="61"/>
  <c r="B20" i="61"/>
  <c r="A20" i="61"/>
  <c r="D19" i="61"/>
  <c r="C19" i="61"/>
  <c r="B19" i="61"/>
  <c r="A19" i="61"/>
  <c r="D17" i="61"/>
  <c r="C17" i="61"/>
  <c r="B17" i="61"/>
  <c r="D14" i="61"/>
  <c r="C14" i="61"/>
  <c r="B14" i="61"/>
  <c r="A14" i="61"/>
  <c r="D13" i="61"/>
  <c r="C13" i="61"/>
  <c r="B13" i="61"/>
  <c r="A13" i="61"/>
  <c r="D11" i="61"/>
  <c r="C11" i="61"/>
  <c r="B11" i="61"/>
  <c r="D10" i="61"/>
  <c r="D8" i="61"/>
  <c r="C8" i="61"/>
  <c r="B8" i="61"/>
  <c r="A8" i="61"/>
  <c r="D7" i="61"/>
  <c r="C7" i="61"/>
  <c r="B7" i="61"/>
  <c r="A7" i="61"/>
  <c r="D5" i="61"/>
  <c r="C5" i="61"/>
  <c r="B5" i="61"/>
  <c r="D4" i="61"/>
  <c r="A2" i="61"/>
  <c r="D18" i="8"/>
  <c r="C18" i="8"/>
  <c r="B18" i="8"/>
  <c r="A18" i="8"/>
  <c r="A18" i="61"/>
  <c r="D12" i="8"/>
  <c r="C12" i="8"/>
  <c r="B12" i="8"/>
  <c r="A12" i="8"/>
  <c r="A12" i="61"/>
  <c r="D6" i="8"/>
  <c r="C6" i="8"/>
  <c r="B6" i="8"/>
  <c r="A6" i="8"/>
  <c r="A6" i="61"/>
  <c r="D4" i="8"/>
  <c r="A2" i="8"/>
  <c r="D111" i="22"/>
  <c r="C111" i="22"/>
  <c r="B111" i="22"/>
  <c r="D109" i="22"/>
  <c r="C109" i="22"/>
  <c r="B109" i="22"/>
  <c r="D107" i="22"/>
  <c r="C107" i="22"/>
  <c r="B107" i="22"/>
  <c r="D104" i="22"/>
  <c r="C104" i="22"/>
  <c r="B104" i="22"/>
  <c r="D97" i="22"/>
  <c r="C97" i="22"/>
  <c r="B97" i="22"/>
  <c r="D94" i="22"/>
  <c r="C94" i="22"/>
  <c r="B94" i="22"/>
  <c r="D86" i="22"/>
  <c r="C86" i="22"/>
  <c r="B86" i="22"/>
  <c r="D82" i="22"/>
  <c r="D81" i="22"/>
  <c r="C82" i="22"/>
  <c r="B82" i="22"/>
  <c r="D78" i="22"/>
  <c r="C78" i="22"/>
  <c r="B78" i="22"/>
  <c r="D76" i="22"/>
  <c r="C76" i="22"/>
  <c r="B76" i="22"/>
  <c r="D74" i="22"/>
  <c r="C74" i="22"/>
  <c r="B74" i="22"/>
  <c r="D67" i="22"/>
  <c r="C67" i="22"/>
  <c r="B67" i="22"/>
  <c r="D65" i="22"/>
  <c r="C65" i="22"/>
  <c r="B65" i="22"/>
  <c r="D54" i="22"/>
  <c r="C54" i="22"/>
  <c r="B54" i="22"/>
  <c r="D44" i="22"/>
  <c r="C44" i="22"/>
  <c r="B44" i="22"/>
  <c r="D41" i="22"/>
  <c r="C41" i="22"/>
  <c r="B41" i="22"/>
  <c r="D9" i="22"/>
  <c r="C9" i="22"/>
  <c r="B9" i="22"/>
  <c r="A6" i="22"/>
  <c r="D4" i="22"/>
  <c r="A2" i="22"/>
  <c r="D111" i="21"/>
  <c r="C111" i="21"/>
  <c r="B111" i="21"/>
  <c r="D109" i="21"/>
  <c r="C109" i="21"/>
  <c r="B109" i="21"/>
  <c r="D107" i="21"/>
  <c r="C107" i="21"/>
  <c r="B107" i="21"/>
  <c r="D104" i="21"/>
  <c r="C104" i="21"/>
  <c r="B104" i="21"/>
  <c r="D97" i="21"/>
  <c r="C97" i="21"/>
  <c r="B97" i="21"/>
  <c r="D94" i="21"/>
  <c r="C94" i="21"/>
  <c r="B94" i="21"/>
  <c r="D86" i="21"/>
  <c r="C86" i="21"/>
  <c r="B86" i="21"/>
  <c r="D82" i="21"/>
  <c r="C82" i="21"/>
  <c r="B82" i="21"/>
  <c r="D78" i="21"/>
  <c r="C78" i="21"/>
  <c r="B78" i="21"/>
  <c r="D76" i="21"/>
  <c r="C76" i="21"/>
  <c r="B76" i="21"/>
  <c r="D74" i="21"/>
  <c r="C74" i="21"/>
  <c r="B74" i="21"/>
  <c r="D67" i="21"/>
  <c r="C67" i="21"/>
  <c r="B67" i="21"/>
  <c r="D65" i="21"/>
  <c r="C65" i="21"/>
  <c r="B65" i="21"/>
  <c r="D54" i="21"/>
  <c r="C54" i="21"/>
  <c r="B54" i="21"/>
  <c r="D44" i="21"/>
  <c r="C44" i="21"/>
  <c r="B44" i="21"/>
  <c r="D41" i="21"/>
  <c r="C41" i="21"/>
  <c r="B41" i="21"/>
  <c r="D9" i="21"/>
  <c r="C9" i="21"/>
  <c r="B9" i="21"/>
  <c r="A6" i="21"/>
  <c r="D4" i="21"/>
  <c r="A2" i="21"/>
  <c r="D111" i="1"/>
  <c r="C111" i="1"/>
  <c r="B111" i="1"/>
  <c r="D109" i="1"/>
  <c r="C109" i="1"/>
  <c r="B109" i="1"/>
  <c r="D107" i="1"/>
  <c r="C107" i="1"/>
  <c r="B107" i="1"/>
  <c r="D104" i="1"/>
  <c r="C104" i="1"/>
  <c r="B104" i="1"/>
  <c r="D97" i="1"/>
  <c r="C97" i="1"/>
  <c r="C96" i="1"/>
  <c r="B97" i="1"/>
  <c r="D94" i="1"/>
  <c r="C94" i="1"/>
  <c r="B94" i="1"/>
  <c r="D92" i="1"/>
  <c r="C92" i="1"/>
  <c r="B92" i="1"/>
  <c r="D90" i="1"/>
  <c r="C90" i="1"/>
  <c r="B90" i="1"/>
  <c r="D83" i="1"/>
  <c r="C83" i="1"/>
  <c r="B83" i="1"/>
  <c r="D81" i="1"/>
  <c r="C81" i="1"/>
  <c r="B81" i="1"/>
  <c r="D70" i="1"/>
  <c r="C70" i="1"/>
  <c r="B70" i="1"/>
  <c r="D60" i="1"/>
  <c r="C60" i="1"/>
  <c r="C59" i="1"/>
  <c r="B60" i="1"/>
  <c r="D56" i="1"/>
  <c r="C56" i="1"/>
  <c r="B56" i="1"/>
  <c r="D48" i="1"/>
  <c r="C48" i="1"/>
  <c r="B48" i="1"/>
  <c r="D44" i="1"/>
  <c r="C44" i="1"/>
  <c r="B44" i="1"/>
  <c r="D41" i="1"/>
  <c r="C41" i="1"/>
  <c r="B41" i="1"/>
  <c r="D9" i="1"/>
  <c r="D8" i="1"/>
  <c r="C9" i="1"/>
  <c r="B9" i="1"/>
  <c r="B8" i="1"/>
  <c r="A6" i="1"/>
  <c r="D4" i="1"/>
  <c r="A2" i="1"/>
  <c r="D111" i="4"/>
  <c r="C111" i="4"/>
  <c r="B111" i="4"/>
  <c r="D109" i="4"/>
  <c r="C109" i="4"/>
  <c r="B109" i="4"/>
  <c r="D107" i="4"/>
  <c r="C107" i="4"/>
  <c r="B107" i="4"/>
  <c r="D104" i="4"/>
  <c r="C104" i="4"/>
  <c r="B104" i="4"/>
  <c r="D97" i="4"/>
  <c r="C97" i="4"/>
  <c r="B97" i="4"/>
  <c r="B96" i="4"/>
  <c r="D94" i="4"/>
  <c r="C94" i="4"/>
  <c r="B94" i="4"/>
  <c r="D92" i="4"/>
  <c r="C92" i="4"/>
  <c r="B92" i="4"/>
  <c r="D90" i="4"/>
  <c r="C90" i="4"/>
  <c r="B90" i="4"/>
  <c r="D83" i="4"/>
  <c r="C83" i="4"/>
  <c r="B83" i="4"/>
  <c r="D81" i="4"/>
  <c r="C81" i="4"/>
  <c r="B81" i="4"/>
  <c r="D70" i="4"/>
  <c r="C70" i="4"/>
  <c r="B70" i="4"/>
  <c r="D60" i="4"/>
  <c r="D59" i="4"/>
  <c r="C60" i="4"/>
  <c r="C59" i="4"/>
  <c r="B60" i="4"/>
  <c r="D56" i="4"/>
  <c r="C56" i="4"/>
  <c r="B56" i="4"/>
  <c r="D48" i="4"/>
  <c r="C48" i="4"/>
  <c r="B48" i="4"/>
  <c r="D44" i="4"/>
  <c r="C44" i="4"/>
  <c r="B44" i="4"/>
  <c r="D41" i="4"/>
  <c r="C41" i="4"/>
  <c r="B41" i="4"/>
  <c r="D9" i="4"/>
  <c r="C9" i="4"/>
  <c r="C8" i="4"/>
  <c r="B9" i="4"/>
  <c r="A6" i="4"/>
  <c r="D4" i="4"/>
  <c r="A2" i="4"/>
  <c r="A4" i="19"/>
  <c r="A10" i="19"/>
  <c r="C8" i="21"/>
  <c r="C81" i="21"/>
  <c r="B8" i="21"/>
  <c r="B81" i="21"/>
  <c r="C43" i="21"/>
  <c r="C7" i="21"/>
  <c r="C96" i="21"/>
  <c r="C80" i="21"/>
  <c r="D81" i="21"/>
  <c r="B96" i="21"/>
  <c r="D96" i="21"/>
  <c r="D8" i="21"/>
  <c r="B43" i="22"/>
  <c r="D43" i="22"/>
  <c r="B81" i="22"/>
  <c r="B8" i="22"/>
  <c r="D8" i="22"/>
  <c r="C43" i="22"/>
  <c r="C81" i="22"/>
  <c r="C96" i="22"/>
  <c r="C8" i="22"/>
  <c r="A4" i="8"/>
  <c r="B12" i="61"/>
  <c r="C18" i="61"/>
  <c r="D18" i="61"/>
  <c r="C12" i="61"/>
  <c r="C6" i="61"/>
  <c r="D6" i="61"/>
  <c r="B18" i="61"/>
  <c r="B6" i="61"/>
  <c r="D12" i="61"/>
  <c r="B43" i="1"/>
  <c r="B7" i="1"/>
  <c r="D43" i="1"/>
  <c r="D7" i="1"/>
  <c r="C8" i="1"/>
  <c r="D8" i="4"/>
  <c r="B43" i="4"/>
  <c r="D43" i="4"/>
  <c r="C43" i="4"/>
  <c r="C7" i="4"/>
  <c r="B8" i="4"/>
  <c r="B59" i="4"/>
  <c r="B58" i="4"/>
  <c r="C96" i="4"/>
  <c r="C58" i="4"/>
  <c r="D96" i="4"/>
  <c r="D58" i="4"/>
  <c r="B59" i="1"/>
  <c r="D59" i="1"/>
  <c r="C7" i="14"/>
  <c r="C43" i="1"/>
  <c r="B96" i="1"/>
  <c r="D96" i="1"/>
  <c r="B43" i="21"/>
  <c r="D43" i="21"/>
  <c r="D7" i="21"/>
  <c r="C58" i="1"/>
  <c r="D14" i="43"/>
  <c r="D7" i="17"/>
  <c r="B81" i="14"/>
  <c r="D96" i="16"/>
  <c r="B6" i="30"/>
  <c r="C6" i="29"/>
  <c r="D6" i="65"/>
  <c r="N23" i="42"/>
  <c r="N7" i="42"/>
  <c r="N4" i="42"/>
  <c r="H5" i="3"/>
  <c r="I4" i="26"/>
  <c r="D5" i="17"/>
  <c r="H21" i="3"/>
  <c r="D21" i="6"/>
  <c r="D5" i="6"/>
  <c r="D4" i="23"/>
  <c r="D5" i="16"/>
  <c r="D5" i="14"/>
  <c r="D5" i="44"/>
  <c r="H4" i="13"/>
  <c r="D5" i="46"/>
  <c r="D4" i="47"/>
  <c r="B96" i="22"/>
  <c r="D96" i="22"/>
  <c r="D80" i="22"/>
  <c r="D8" i="14"/>
  <c r="D7" i="14"/>
  <c r="C8" i="16"/>
  <c r="C7" i="16"/>
  <c r="C58" i="16"/>
  <c r="D23" i="6"/>
  <c r="B9" i="14"/>
  <c r="B8" i="14"/>
  <c r="B96" i="14"/>
  <c r="D58" i="16"/>
  <c r="D7" i="16"/>
  <c r="F6" i="30"/>
  <c r="D6" i="30"/>
  <c r="G6" i="29"/>
  <c r="E90" i="29"/>
  <c r="E6" i="29"/>
  <c r="G10" i="68"/>
  <c r="G10" i="69"/>
  <c r="G10" i="49"/>
  <c r="G10" i="32"/>
  <c r="A10" i="32"/>
  <c r="D10" i="8"/>
  <c r="A10" i="8"/>
  <c r="D15" i="59"/>
  <c r="E8" i="55"/>
  <c r="B80" i="21"/>
  <c r="B7" i="21"/>
  <c r="C6" i="21"/>
  <c r="D80" i="21"/>
  <c r="D6" i="21"/>
  <c r="B80" i="22"/>
  <c r="C7" i="22"/>
  <c r="D7" i="22"/>
  <c r="D6" i="22"/>
  <c r="B7" i="22"/>
  <c r="B6" i="22"/>
  <c r="C80" i="22"/>
  <c r="C7" i="1"/>
  <c r="C6" i="1"/>
  <c r="B58" i="1"/>
  <c r="B6" i="1"/>
  <c r="B7" i="4"/>
  <c r="D7" i="4"/>
  <c r="D6" i="4"/>
  <c r="C6" i="4"/>
  <c r="B6" i="4"/>
  <c r="D58" i="1"/>
  <c r="D6" i="1"/>
  <c r="B80" i="14"/>
  <c r="B7" i="14"/>
  <c r="B6" i="21"/>
  <c r="C6" i="22"/>
</calcChain>
</file>

<file path=xl/sharedStrings.xml><?xml version="1.0" encoding="utf-8"?>
<sst xmlns="http://schemas.openxmlformats.org/spreadsheetml/2006/main" count="1215" uniqueCount="206">
  <si>
    <t>%</t>
  </si>
  <si>
    <t>Державний борг</t>
  </si>
  <si>
    <t>Гарантований державою борг</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</si>
  <si>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</si>
  <si>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</si>
  <si>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</si>
  <si>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</si>
  <si>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</si>
  <si>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</si>
  <si>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</si>
  <si>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</si>
  <si>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</si>
  <si>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</si>
  <si>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</si>
  <si>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</si>
  <si>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</si>
  <si>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</si>
  <si>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</si>
  <si>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</si>
  <si>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</si>
  <si>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</si>
  <si>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</si>
  <si>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</si>
  <si>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</si>
  <si>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</si>
  <si>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</si>
  <si>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</si>
  <si>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</si>
  <si>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</si>
  <si>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</si>
  <si>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</si>
  <si>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</si>
  <si>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</si>
  <si>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</si>
  <si>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</si>
  <si>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</si>
  <si>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</si>
  <si>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</si>
  <si>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</si>
  <si>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</si>
  <si>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</si>
  <si>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</si>
  <si>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</si>
  <si>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</si>
  <si>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</si>
  <si>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</si>
  <si>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</si>
  <si>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</si>
  <si>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</si>
  <si>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</si>
  <si>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</si>
  <si>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</si>
  <si>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2025.02.28-2025.12.31</t>
  </si>
  <si>
    <t>1</t>
  </si>
  <si>
    <t>2026-2030</t>
  </si>
  <si>
    <t>2030-06.05.2070</t>
  </si>
  <si>
    <t>тис.одиниць</t>
  </si>
  <si>
    <t>Внутрішній борг</t>
  </si>
  <si>
    <t>1. Заборгованість за випущеними цінними паперами на внутрішньому ринку</t>
  </si>
  <si>
    <t>ОВДП (10 - річні)</t>
  </si>
  <si>
    <t>ОВДП (11 - річні)</t>
  </si>
  <si>
    <t>ОВДП (12 - місячні)</t>
  </si>
  <si>
    <t>ОВДП (12 - річні)</t>
  </si>
  <si>
    <t>ОВДП (13 - річні)</t>
  </si>
  <si>
    <t>ОВДП (14 - річні)</t>
  </si>
  <si>
    <t>ОВДП (15 - річні)</t>
  </si>
  <si>
    <t>ОВДП (16 - річні)</t>
  </si>
  <si>
    <t>ОВДП (17 - річні)</t>
  </si>
  <si>
    <t>ОВДП (18 - місячні)</t>
  </si>
  <si>
    <t>ОВДП (18 - річні)</t>
  </si>
  <si>
    <t>ОВДП (19 - річні)</t>
  </si>
  <si>
    <t>ОВДП (2 - річні)</t>
  </si>
  <si>
    <t>ОВДП (20 - річні)</t>
  </si>
  <si>
    <t>ОВДП (21 - річні)</t>
  </si>
  <si>
    <t>ОВДП (22 - річні)</t>
  </si>
  <si>
    <t>ОВДП (23 - річні)</t>
  </si>
  <si>
    <t>ОВДП (24 - річні)</t>
  </si>
  <si>
    <t>ОВДП (25 - річні)</t>
  </si>
  <si>
    <t>ОВДП (26 - річні)</t>
  </si>
  <si>
    <t>ОВДП (27 - річні)</t>
  </si>
  <si>
    <t>ОВДП (28 - річні)</t>
  </si>
  <si>
    <t>ОВДП (29 - річні)</t>
  </si>
  <si>
    <t>ОВДП (3 - місячні)</t>
  </si>
  <si>
    <t>ОВДП (3 - річні)</t>
  </si>
  <si>
    <t>ОВДП (30 - річні)</t>
  </si>
  <si>
    <t>ОВДП (4 - річні)</t>
  </si>
  <si>
    <t>ОВДП (5 - річні)</t>
  </si>
  <si>
    <t>ОВДП (6 - місячні)</t>
  </si>
  <si>
    <t>ОВДП (6 - річні)</t>
  </si>
  <si>
    <t>ОВДП (7 - річні)</t>
  </si>
  <si>
    <t>ОВДП (8 - річні)</t>
  </si>
  <si>
    <t>ОВДП (9 - місячні)</t>
  </si>
  <si>
    <t>ОВДП (9 - річні)</t>
  </si>
  <si>
    <t>2. Заборгованість перед банківськими та іншими фінансовими установами</t>
  </si>
  <si>
    <t>Національний банк України</t>
  </si>
  <si>
    <t>Зовнішній борг</t>
  </si>
  <si>
    <t>1. Заборгованість за позиками, одержаними від міжнародних фінансових організацій</t>
  </si>
  <si>
    <t>NEFCO</t>
  </si>
  <si>
    <t>Банк розвитку Ради Європи</t>
  </si>
  <si>
    <t>Європейський банк реконструкції та розвитку</t>
  </si>
  <si>
    <t>Європейський Інвестиційний Банк</t>
  </si>
  <si>
    <t>Європейський Союз</t>
  </si>
  <si>
    <t>Міжнародна асоціація розвитку (МБРР)</t>
  </si>
  <si>
    <t>Міжнародний банк реконструкції та розвитку</t>
  </si>
  <si>
    <t>Міжнародний Валютний Фонд</t>
  </si>
  <si>
    <t>Фонд чистих технологій (МБРР)</t>
  </si>
  <si>
    <t>2.1. Заборгованість за позиками, одержаними від органів управління іноземних держав (крім неврегульованої від органів управління держави-агресора та/або такої, що оскаржується)</t>
  </si>
  <si>
    <t>Великобританія</t>
  </si>
  <si>
    <t>Італія</t>
  </si>
  <si>
    <t>Канада</t>
  </si>
  <si>
    <t>Нідерланди</t>
  </si>
  <si>
    <t>Німеччина</t>
  </si>
  <si>
    <t>Польща</t>
  </si>
  <si>
    <t>Республіка Корея</t>
  </si>
  <si>
    <t>США</t>
  </si>
  <si>
    <t>Франція</t>
  </si>
  <si>
    <t>Японія</t>
  </si>
  <si>
    <t>2.2 Неврегульована заборгованість за позиками, одержаними від органів управління держави-агресора, та/або така, що оскаржується</t>
  </si>
  <si>
    <t>Росія</t>
  </si>
  <si>
    <t>3. Заборгованість за позиками, одержаними від іноземних комерційних банків, інших іноземних фінансових установ</t>
  </si>
  <si>
    <t>Cargill</t>
  </si>
  <si>
    <t>Chase Manhattan Bank</t>
  </si>
  <si>
    <t>Citibank Europe PLC</t>
  </si>
  <si>
    <t>Credit Agricole Corporate and Investment Bank</t>
  </si>
  <si>
    <t>Deutsche Bank</t>
  </si>
  <si>
    <t>National Westminster Bank PLC</t>
  </si>
  <si>
    <t>4.1.Заборгованість за випущеними цінними паперами (крім неврегульованої та/або такої, що оскаржується)</t>
  </si>
  <si>
    <t>ОЗДП 2015 року</t>
  </si>
  <si>
    <t>ОЗДП 2016 року</t>
  </si>
  <si>
    <t>ОЗДП 2017 року</t>
  </si>
  <si>
    <t>ОЗДП 2018 року</t>
  </si>
  <si>
    <t>ОЗДП 2019 року</t>
  </si>
  <si>
    <t>ОЗДП 2020 року</t>
  </si>
  <si>
    <t>ОЗДП 2021 року</t>
  </si>
  <si>
    <t>ОЗДП 2024 року</t>
  </si>
  <si>
    <t>4.2.Неврегульована заборгованість за випущеними цінними паперами, та/або така, що оскаржується</t>
  </si>
  <si>
    <t>ОЗДП 2013 року</t>
  </si>
  <si>
    <t>5. Заборгованість, не віднесена до інших категорій</t>
  </si>
  <si>
    <t>Державні цінні папери</t>
  </si>
  <si>
    <t>Облігації ДІУ (10 - річні)</t>
  </si>
  <si>
    <t>Облігації ДІУ (7 - річні)</t>
  </si>
  <si>
    <t>Облігації Укравтодору (12 - місячні)</t>
  </si>
  <si>
    <t>Облігації Укравтодору (3 - річні)</t>
  </si>
  <si>
    <t>Облігації Укравтодору (4 - річні)</t>
  </si>
  <si>
    <t>Облігації Укравтодору (5 - річні)</t>
  </si>
  <si>
    <t>АБ "УКРГАЗБАНК"</t>
  </si>
  <si>
    <t>АТ "БАНК КРЕДИТ ДНІПРО"</t>
  </si>
  <si>
    <t>АТ "Державний експортно-імпортний банк України"</t>
  </si>
  <si>
    <t>АТ "Державний ощадний банк України"</t>
  </si>
  <si>
    <t>АТ "ПУМБ"</t>
  </si>
  <si>
    <t>АТ "ТАСКОМБАНК"</t>
  </si>
  <si>
    <t>ПАТ "Державний експортно-імпортний банк України"</t>
  </si>
  <si>
    <t>ПАТ "Державний ощадний банк України"</t>
  </si>
  <si>
    <t>Портфельні гарантії</t>
  </si>
  <si>
    <t>3. Заборгованість, не віднесена до інших категорій</t>
  </si>
  <si>
    <t>Інші кредитори</t>
  </si>
  <si>
    <t>Європейське співтоватиство з атомної енергії</t>
  </si>
  <si>
    <t>2. Заборгованість за позиками, одержаними від органів управління іноземних держав</t>
  </si>
  <si>
    <t>Експортно-імпортний банк Китаю</t>
  </si>
  <si>
    <t>Central Storage Safety Project Trust</t>
  </si>
  <si>
    <t>4. Заборгованість за випущеними цінними паперами на зовнішньому ринку</t>
  </si>
  <si>
    <t>Облігації Укравтодору (7 - річні)</t>
  </si>
  <si>
    <t>Облігації Укренерго (5 - річні)</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</si>
  <si>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</si>
  <si>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</si>
  <si>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</si>
  <si>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28.02.2025</t>
  </si>
  <si>
    <t>Дата последнего погашения</t>
  </si>
  <si>
    <t>31.12.2060</t>
  </si>
  <si>
    <t>Единицы измерения</t>
  </si>
  <si>
    <t>Сессия</t>
  </si>
  <si>
    <t>53e314aa-ea26-4f8c-a075-ea67d2cdee66</t>
  </si>
  <si>
    <t>SHORT</t>
  </si>
  <si>
    <t>UKR</t>
  </si>
  <si>
    <t>Локалізація звіту:</t>
  </si>
  <si>
    <t>%%</t>
  </si>
  <si>
    <t>Борг, по якому сплата відсотків здійснюється за плаваючими процентними ставками</t>
  </si>
  <si>
    <t>Борг, по якому сплата відсотків здійснюється за фіксованими процентними ставками</t>
  </si>
  <si>
    <t>EURIBOR</t>
  </si>
  <si>
    <t>SOFR</t>
  </si>
  <si>
    <t>SONIA</t>
  </si>
  <si>
    <t>TORF</t>
  </si>
  <si>
    <t>Індекс споживчих цін (СРІ)</t>
  </si>
  <si>
    <t>Облікова ставка НБУ</t>
  </si>
  <si>
    <t>Ставка МВФ</t>
  </si>
  <si>
    <t>Український індекс ставок за депозитами фізичних осіб</t>
  </si>
  <si>
    <t>Фіксована</t>
  </si>
  <si>
    <t>USD</t>
  </si>
  <si>
    <t>UAH</t>
  </si>
  <si>
    <t>Внутрішній борг за випущеними цінними паперами</t>
  </si>
  <si>
    <t>Внутрішній борг перед банківськими та іншими фінансовими установами</t>
  </si>
  <si>
    <t>Внутрішня заборгованість, не віднесена до інших категорій</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</si>
  <si>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</si>
  <si>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</si>
  <si>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</si>
  <si>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</si>
  <si>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</si>
  <si>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</si>
  <si>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Анг. фунт стерлінгів</t>
  </si>
  <si>
    <t>Долар США</t>
  </si>
  <si>
    <t>ЄВРО</t>
  </si>
  <si>
    <t>Канадський долар</t>
  </si>
  <si>
    <t>СПЗ</t>
  </si>
  <si>
    <t>Українська гривня</t>
  </si>
  <si>
    <t>Японська єна</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</si>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</sst>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2" x14ac:knownFonts="1">
    <font>
      <sz val="10"/>
      <name val="Arial Cyr"/>
      <charset val="204"/>
    </font>
    <font>
      <sz val="10"/>
      <name val="Arial Cyr"/>
      <charset val="204"/>
    </font>
    <font>
      <i/>
      <sz val="10"/>
      <name val="Arial Cyr"/>
      <charset val="204"/>
    </font>
    <font>
      <sz val="8"/>
      <name val="Arial Cyr"/>
      <charset val="204"/>
    </font>
    <font>
      <b/>
      <sz val="14"/>
      <name val="Calibri"/>
      <family val="2"/>
      <charset val="204"/>
      <scheme val="minor"/>
    </font>
    <font>
      <sz val="11"/>
      <color theme="1"/>
      <name val="Calibri"/>
      <family val="2"/>
      <charset val="204"/>
      <scheme val="minor"/>
    </font>
    <font>
      <sz val="11"/>
      <color theme="0"/>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4"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7" fillId="0" borderId="0" xfId="0" applyFont="1" applyAlignment="1">
      <alignment horizontal="center"/>
    </xf>
    <xf numFmtId="0" fontId="8" fillId="0" borderId="0" xfId="0" applyFont="1"/>
    <xf numFmtId="4" fontId="8" fillId="0" borderId="0" xfId="0" applyNumberFormat="1" applyFont="1"/>
    <xf numFmtId="4" fontId="8" fillId="0" borderId="0" xfId="0" applyNumberFormat="1" applyFont="1"/>
    <xf numFmtId="0" fontId="8" fillId="0" borderId="0" xfId="0" applyFont="1"/>
    <xf numFmtId="49" fontId="9" fillId="2" borderId="1" xfId="1" applyNumberFormat="1" applyFont="1" applyFill="1" applyBorder="1" applyAlignment="1">
      <alignment horizontal="center" vertical="center" wrapText="1"/>
    </xf>
    <xf numFmtId="166" fontId="9" fillId="2" borderId="1" xfId="1" applyNumberFormat="1" applyFont="1" applyFill="1" applyBorder="1" applyAlignment="1">
      <alignment horizontal="center" vertical="center"/>
    </xf>
    <xf numFmtId="0" fontId="9" fillId="0" borderId="0" xfId="1" applyFont="1" applyAlignment="1">
      <alignment horizontal="center" vertical="center"/>
    </xf>
    <xf numFmtId="0" fontId="10"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4" fontId="11" fillId="2" borderId="1" xfId="0" applyNumberFormat="1" applyFont="1" applyFill="1" applyBorder="1" applyAlignment="1">
      <alignment horizontal="right" vertical="center"/>
    </xf>
    <xf numFmtId="0" fontId="8" fillId="0" borderId="0" xfId="0" applyNumberFormat="1" applyFont="1" applyAlignment="1">
      <alignment horizontal="center" vertical="center"/>
    </xf>
    <xf numFmtId="164" fontId="12" fillId="10" borderId="1" xfId="1" applyNumberFormat="1" applyFont="1" applyFill="1" applyBorder="1" applyAlignment="1">
      <alignment horizontal="right" vertical="center"/>
    </xf>
    <xf numFmtId="0" fontId="7" fillId="0" borderId="0" xfId="0" applyFont="1"/>
    <xf numFmtId="4" fontId="7" fillId="0" borderId="0" xfId="0" applyNumberFormat="1" applyFont="1"/>
    <xf numFmtId="0" fontId="9" fillId="0" borderId="0" xfId="0" applyFont="1"/>
    <xf numFmtId="4" fontId="7" fillId="0" borderId="0" xfId="0" applyNumberFormat="1" applyFont="1"/>
    <xf numFmtId="0" fontId="7" fillId="0" borderId="0" xfId="0" applyFont="1"/>
    <xf numFmtId="0" fontId="10" fillId="0" borderId="0" xfId="0" applyFont="1" applyAlignment="1">
      <alignment horizontal="right"/>
    </xf>
    <xf numFmtId="4" fontId="10" fillId="0" borderId="0" xfId="0" applyNumberFormat="1" applyFont="1" applyAlignment="1">
      <alignment horizontal="right"/>
    </xf>
    <xf numFmtId="0" fontId="13" fillId="0" borderId="0" xfId="0" applyFont="1" applyAlignment="1">
      <alignment horizontal="center"/>
    </xf>
    <xf numFmtId="0" fontId="13" fillId="0" borderId="0" xfId="0" applyFont="1"/>
    <xf numFmtId="0" fontId="14" fillId="0" borderId="0" xfId="1" applyNumberFormat="1" applyFont="1" applyFill="1" applyAlignment="1">
      <alignment horizontal="center" vertical="center"/>
    </xf>
    <xf numFmtId="49" fontId="15" fillId="3" borderId="1" xfId="1" applyNumberFormat="1" applyFont="1" applyFill="1" applyBorder="1" applyAlignment="1">
      <alignment horizontal="left" vertical="center"/>
    </xf>
    <xf numFmtId="166" fontId="9" fillId="0" borderId="1" xfId="1" applyNumberFormat="1" applyFont="1" applyBorder="1" applyAlignment="1">
      <alignment horizontal="center" vertical="center"/>
    </xf>
    <xf numFmtId="0" fontId="9" fillId="0" borderId="0" xfId="1" applyFont="1"/>
    <xf numFmtId="0" fontId="10" fillId="0" borderId="0" xfId="1" applyNumberFormat="1" applyFont="1"/>
    <xf numFmtId="0" fontId="10" fillId="0" borderId="0" xfId="1" applyNumberFormat="1" applyFont="1"/>
    <xf numFmtId="49" fontId="10" fillId="0" borderId="0" xfId="0" applyNumberFormat="1" applyFont="1" applyAlignment="1">
      <alignment horizontal="right"/>
    </xf>
    <xf numFmtId="0" fontId="7" fillId="0" borderId="0" xfId="0" applyNumberFormat="1" applyFont="1" applyAlignment="1">
      <alignment horizontal="center" vertical="center"/>
    </xf>
    <xf numFmtId="0" fontId="7" fillId="0" borderId="0" xfId="0" applyNumberFormat="1" applyFont="1"/>
    <xf numFmtId="0" fontId="7" fillId="0" borderId="0" xfId="0" applyNumberFormat="1" applyFont="1"/>
    <xf numFmtId="0" fontId="10" fillId="0" borderId="0" xfId="0" applyFont="1"/>
    <xf numFmtId="0" fontId="10" fillId="0" borderId="0" xfId="0" applyFont="1"/>
    <xf numFmtId="4" fontId="6" fillId="8" borderId="1" xfId="7" applyNumberFormat="1" applyFont="1" applyFill="1" applyBorder="1" applyAlignment="1">
      <alignment horizontal="right" vertical="center"/>
    </xf>
    <xf numFmtId="4" fontId="16" fillId="8" borderId="1" xfId="7" applyNumberFormat="1" applyFont="1" applyFill="1" applyBorder="1" applyAlignment="1">
      <alignment horizontal="right" vertical="center"/>
    </xf>
    <xf numFmtId="49" fontId="9" fillId="0" borderId="1" xfId="0" applyNumberFormat="1" applyFont="1" applyBorder="1"/>
    <xf numFmtId="166" fontId="9" fillId="0" borderId="1" xfId="0" applyNumberFormat="1" applyFont="1" applyBorder="1"/>
    <xf numFmtId="49" fontId="7" fillId="0" borderId="0" xfId="0" applyNumberFormat="1" applyFont="1"/>
    <xf numFmtId="49" fontId="7" fillId="0" borderId="1" xfId="0" applyNumberFormat="1" applyFont="1" applyBorder="1" applyAlignment="1">
      <alignment horizontal="left" indent="1"/>
    </xf>
    <xf numFmtId="4" fontId="7" fillId="0" borderId="1" xfId="0" applyNumberFormat="1" applyFont="1" applyBorder="1"/>
    <xf numFmtId="10" fontId="7" fillId="0" borderId="1" xfId="0" applyNumberFormat="1" applyFont="1" applyBorder="1"/>
    <xf numFmtId="49" fontId="16" fillId="8" borderId="1" xfId="7" applyNumberFormat="1" applyFont="1" applyFill="1" applyBorder="1"/>
    <xf numFmtId="4" fontId="16" fillId="8" borderId="1" xfId="7" applyNumberFormat="1" applyFont="1" applyFill="1" applyBorder="1"/>
    <xf numFmtId="0" fontId="7" fillId="0" borderId="0" xfId="0" applyFont="1" applyAlignment="1">
      <alignment horizontal="center" vertical="center"/>
    </xf>
    <xf numFmtId="0" fontId="10" fillId="0" borderId="1" xfId="0" applyFont="1" applyBorder="1" applyAlignment="1">
      <alignment horizontal="right"/>
    </xf>
    <xf numFmtId="0" fontId="7" fillId="0" borderId="1" xfId="0" applyFont="1" applyBorder="1"/>
    <xf numFmtId="0" fontId="10" fillId="0" borderId="1" xfId="0" applyFont="1" applyBorder="1"/>
    <xf numFmtId="49" fontId="9" fillId="2" borderId="1" xfId="1" applyNumberFormat="1" applyFont="1" applyFill="1" applyBorder="1" applyAlignment="1">
      <alignment horizontal="center" vertical="center"/>
    </xf>
    <xf numFmtId="10" fontId="11" fillId="2" borderId="1" xfId="0" applyNumberFormat="1" applyFont="1" applyFill="1" applyBorder="1" applyAlignment="1">
      <alignment horizontal="right" vertical="center"/>
    </xf>
    <xf numFmtId="0" fontId="7" fillId="0" borderId="0" xfId="0" applyFont="1" applyAlignment="1">
      <alignment horizontal="left" vertical="center"/>
    </xf>
    <xf numFmtId="0" fontId="9" fillId="0" borderId="1" xfId="1" applyFont="1" applyBorder="1" applyAlignment="1">
      <alignment horizontal="center" vertical="center"/>
    </xf>
    <xf numFmtId="0" fontId="7" fillId="0" borderId="0" xfId="1" applyNumberFormat="1" applyFont="1"/>
    <xf numFmtId="0" fontId="7" fillId="0" borderId="0" xfId="1" applyNumberFormat="1" applyFont="1"/>
    <xf numFmtId="10" fontId="7" fillId="0" borderId="0" xfId="0" applyNumberFormat="1" applyFont="1"/>
    <xf numFmtId="49" fontId="17" fillId="0" borderId="1" xfId="0" applyNumberFormat="1" applyFont="1" applyBorder="1" applyAlignment="1">
      <alignment horizontal="left" vertical="center"/>
    </xf>
    <xf numFmtId="4" fontId="18" fillId="2" borderId="1" xfId="0" applyNumberFormat="1" applyFont="1" applyFill="1" applyBorder="1" applyAlignment="1">
      <alignment horizontal="right" vertical="center"/>
    </xf>
    <xf numFmtId="10" fontId="18" fillId="2" borderId="1" xfId="0" applyNumberFormat="1" applyFont="1" applyFill="1" applyBorder="1" applyAlignment="1">
      <alignment horizontal="right" vertical="center"/>
    </xf>
    <xf numFmtId="10" fontId="10" fillId="0" borderId="0" xfId="0" applyNumberFormat="1" applyFont="1" applyAlignment="1">
      <alignment horizontal="right"/>
    </xf>
    <xf numFmtId="4" fontId="9"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9" fillId="0" borderId="0" xfId="1" applyFont="1" applyAlignment="1">
      <alignment horizontal="right"/>
    </xf>
    <xf numFmtId="0" fontId="7" fillId="0" borderId="0" xfId="0" applyNumberFormat="1" applyFont="1" applyAlignment="1">
      <alignment horizontal="right"/>
    </xf>
    <xf numFmtId="10" fontId="7" fillId="0" borderId="0" xfId="0" applyNumberFormat="1" applyFont="1"/>
    <xf numFmtId="0" fontId="10" fillId="0" borderId="0" xfId="0" applyFont="1" applyAlignment="1">
      <alignment horizontal="left"/>
    </xf>
    <xf numFmtId="49" fontId="9" fillId="2" borderId="1" xfId="1" applyNumberFormat="1" applyFont="1" applyFill="1" applyBorder="1" applyAlignment="1">
      <alignment horizontal="left" vertical="center" wrapText="1"/>
    </xf>
    <xf numFmtId="0" fontId="7" fillId="0" borderId="0" xfId="0" applyFont="1" applyAlignment="1">
      <alignment horizontal="left"/>
    </xf>
    <xf numFmtId="4" fontId="19" fillId="0" borderId="0" xfId="0" applyNumberFormat="1" applyFont="1"/>
    <xf numFmtId="10" fontId="20" fillId="11" borderId="1" xfId="9" applyNumberFormat="1" applyFont="1" applyFill="1" applyBorder="1" applyAlignment="1">
      <alignment horizontal="right"/>
    </xf>
    <xf numFmtId="49"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center" vertical="center"/>
    </xf>
    <xf numFmtId="0" fontId="9" fillId="0" borderId="0" xfId="1" applyNumberFormat="1" applyFont="1" applyAlignment="1">
      <alignment horizontal="center" vertical="center"/>
    </xf>
    <xf numFmtId="49" fontId="9" fillId="2" borderId="1" xfId="1" applyNumberFormat="1" applyFont="1" applyFill="1" applyBorder="1" applyAlignment="1">
      <alignment wrapText="1"/>
    </xf>
    <xf numFmtId="0" fontId="9" fillId="0" borderId="0" xfId="1" applyNumberFormat="1" applyFont="1"/>
    <xf numFmtId="0" fontId="9" fillId="0" borderId="0" xfId="1" applyNumberFormat="1" applyFont="1"/>
    <xf numFmtId="164" fontId="22" fillId="8" borderId="1" xfId="7" applyNumberFormat="1" applyFont="1" applyFill="1" applyBorder="1" applyAlignment="1">
      <alignment horizontal="right" vertical="center"/>
    </xf>
    <xf numFmtId="10" fontId="22" fillId="8" borderId="1" xfId="9" applyNumberFormat="1" applyFont="1" applyFill="1" applyBorder="1" applyAlignment="1">
      <alignment horizontal="right" vertical="center"/>
    </xf>
    <xf numFmtId="164" fontId="6" fillId="8" borderId="1" xfId="7" applyNumberFormat="1" applyFont="1" applyFill="1" applyBorder="1" applyAlignment="1">
      <alignment horizontal="right" vertical="center"/>
    </xf>
    <xf numFmtId="10" fontId="6" fillId="8" borderId="1" xfId="9" applyNumberFormat="1" applyFont="1" applyFill="1" applyBorder="1" applyAlignment="1">
      <alignment horizontal="right" vertical="center"/>
    </xf>
    <xf numFmtId="4" fontId="22" fillId="8" borderId="1" xfId="7" applyNumberFormat="1" applyFont="1" applyFill="1" applyBorder="1" applyAlignment="1">
      <alignment horizontal="right" vertical="center"/>
    </xf>
    <xf numFmtId="4" fontId="9" fillId="2" borderId="1" xfId="1" applyNumberFormat="1" applyFont="1" applyFill="1" applyBorder="1" applyAlignment="1">
      <alignment horizontal="center"/>
    </xf>
    <xf numFmtId="10" fontId="9" fillId="2" borderId="1" xfId="1" applyNumberFormat="1" applyFont="1" applyFill="1" applyBorder="1" applyAlignment="1">
      <alignment horizontal="center"/>
    </xf>
    <xf numFmtId="4" fontId="6" fillId="8" borderId="1" xfId="7" applyNumberFormat="1" applyFont="1" applyFill="1" applyBorder="1" applyAlignment="1">
      <alignment horizontal="right"/>
    </xf>
    <xf numFmtId="165" fontId="7" fillId="0" borderId="0" xfId="0" applyNumberFormat="1" applyFont="1"/>
    <xf numFmtId="165" fontId="7" fillId="0" borderId="0" xfId="0" applyNumberFormat="1" applyFont="1"/>
    <xf numFmtId="165" fontId="10" fillId="0" borderId="0" xfId="0" applyNumberFormat="1" applyFont="1" applyAlignment="1">
      <alignment horizontal="right"/>
    </xf>
    <xf numFmtId="165" fontId="9" fillId="2" borderId="1" xfId="1" applyNumberFormat="1" applyFont="1" applyFill="1" applyBorder="1" applyAlignment="1">
      <alignment horizontal="center" vertical="center"/>
    </xf>
    <xf numFmtId="0" fontId="13" fillId="0" borderId="0" xfId="0" applyFont="1"/>
    <xf numFmtId="165" fontId="6" fillId="8" borderId="1" xfId="7" applyNumberFormat="1" applyFont="1" applyFill="1" applyBorder="1" applyAlignment="1">
      <alignment horizontal="right" vertical="center"/>
    </xf>
    <xf numFmtId="10" fontId="6" fillId="8" borderId="1" xfId="7" applyNumberFormat="1" applyFont="1" applyFill="1" applyBorder="1" applyAlignment="1">
      <alignment horizontal="right" vertical="center"/>
    </xf>
    <xf numFmtId="165" fontId="6" fillId="8" borderId="1" xfId="7" applyNumberFormat="1" applyFont="1" applyFill="1" applyBorder="1" applyAlignment="1">
      <alignment horizontal="right"/>
    </xf>
    <xf numFmtId="10" fontId="6" fillId="8" borderId="1" xfId="7" applyNumberFormat="1" applyFont="1" applyFill="1" applyBorder="1" applyAlignment="1">
      <alignment horizontal="right"/>
    </xf>
    <xf numFmtId="49" fontId="9" fillId="3" borderId="1"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11" fillId="2" borderId="1" xfId="0" applyNumberFormat="1" applyFont="1" applyFill="1" applyBorder="1" applyAlignment="1">
      <alignment horizontal="left" vertical="center"/>
    </xf>
    <xf numFmtId="0" fontId="7" fillId="0" borderId="0" xfId="0" applyFont="1" applyAlignment="1">
      <alignment wrapText="1"/>
    </xf>
    <xf numFmtId="49" fontId="23" fillId="11" borderId="1" xfId="1" applyNumberFormat="1" applyFont="1" applyFill="1" applyBorder="1" applyAlignment="1">
      <alignment horizontal="left" vertical="center" indent="2"/>
    </xf>
    <xf numFmtId="164" fontId="23" fillId="11" borderId="1" xfId="1" applyNumberFormat="1" applyFont="1" applyFill="1" applyBorder="1" applyAlignment="1">
      <alignment horizontal="right" vertical="center"/>
    </xf>
    <xf numFmtId="10" fontId="23" fillId="11" borderId="1" xfId="9" applyNumberFormat="1" applyFont="1" applyFill="1" applyBorder="1" applyAlignment="1">
      <alignment horizontal="right" vertical="center"/>
    </xf>
    <xf numFmtId="10" fontId="20" fillId="11" borderId="1" xfId="9" applyNumberFormat="1" applyFont="1" applyFill="1" applyBorder="1" applyAlignment="1">
      <alignment horizontal="right" vertical="center"/>
    </xf>
    <xf numFmtId="49" fontId="9" fillId="11" borderId="1" xfId="1" applyNumberFormat="1" applyFont="1" applyFill="1" applyBorder="1" applyAlignment="1">
      <alignment horizontal="center" vertical="center" wrapText="1"/>
    </xf>
    <xf numFmtId="49" fontId="9" fillId="11" borderId="1" xfId="1" applyNumberFormat="1" applyFont="1" applyFill="1" applyBorder="1" applyAlignment="1">
      <alignment horizontal="center" vertical="center"/>
    </xf>
    <xf numFmtId="0" fontId="7" fillId="0" borderId="0" xfId="0" applyFont="1" applyAlignment="1">
      <alignment horizontal="right"/>
    </xf>
    <xf numFmtId="164" fontId="16" fillId="8" borderId="1" xfId="7" applyNumberFormat="1" applyFont="1" applyFill="1" applyBorder="1" applyAlignment="1">
      <alignment horizontal="right" vertical="center"/>
    </xf>
    <xf numFmtId="0" fontId="9" fillId="0" borderId="1" xfId="1" applyFont="1" applyBorder="1"/>
    <xf numFmtId="49" fontId="7" fillId="0" borderId="1" xfId="0" applyNumberFormat="1" applyFont="1" applyBorder="1" applyAlignment="1">
      <alignment horizontal="left" vertical="center" indent="1"/>
    </xf>
    <xf numFmtId="0" fontId="19" fillId="0" borderId="0" xfId="0" applyFont="1"/>
    <xf numFmtId="0" fontId="19" fillId="0" borderId="0" xfId="0" applyFont="1"/>
    <xf numFmtId="0" fontId="24" fillId="0" borderId="0" xfId="0" applyFont="1" applyAlignment="1">
      <alignment horizontal="right"/>
    </xf>
    <xf numFmtId="4" fontId="19" fillId="0" borderId="0" xfId="0" applyNumberFormat="1" applyFont="1" applyAlignment="1">
      <alignment horizontal="center" vertical="center"/>
    </xf>
    <xf numFmtId="164" fontId="22" fillId="12" borderId="1" xfId="8" applyNumberFormat="1" applyFont="1" applyFill="1" applyBorder="1" applyAlignment="1">
      <alignment horizontal="right" vertical="center"/>
    </xf>
    <xf numFmtId="10" fontId="22" fillId="12" borderId="1" xfId="9" applyNumberFormat="1" applyFont="1" applyFill="1" applyBorder="1" applyAlignment="1">
      <alignment horizontal="right" vertical="center"/>
    </xf>
    <xf numFmtId="164" fontId="22" fillId="13" borderId="1" xfId="8" applyNumberFormat="1" applyFont="1" applyFill="1" applyBorder="1" applyAlignment="1">
      <alignment horizontal="right" vertical="center"/>
    </xf>
    <xf numFmtId="10" fontId="22" fillId="13" borderId="1" xfId="9" applyNumberFormat="1" applyFont="1" applyFill="1" applyBorder="1" applyAlignment="1">
      <alignment horizontal="right" vertical="center"/>
    </xf>
    <xf numFmtId="164" fontId="6" fillId="13" borderId="1" xfId="8" applyNumberFormat="1" applyFont="1" applyFill="1" applyBorder="1" applyAlignment="1">
      <alignment horizontal="right" vertical="center"/>
    </xf>
    <xf numFmtId="10" fontId="6" fillId="13" borderId="1" xfId="9" applyNumberFormat="1" applyFont="1" applyFill="1" applyBorder="1" applyAlignment="1">
      <alignment horizontal="right" vertical="center"/>
    </xf>
    <xf numFmtId="4" fontId="6" fillId="13" borderId="1" xfId="8" applyNumberFormat="1" applyFont="1" applyFill="1" applyBorder="1" applyAlignment="1">
      <alignment horizontal="right" vertical="center"/>
    </xf>
    <xf numFmtId="10" fontId="6" fillId="13" borderId="1" xfId="8" applyNumberFormat="1" applyFont="1" applyFill="1" applyBorder="1" applyAlignment="1">
      <alignment horizontal="right" vertical="center"/>
    </xf>
    <xf numFmtId="0" fontId="16" fillId="0" borderId="0" xfId="1" applyNumberFormat="1" applyFont="1" applyAlignment="1">
      <alignment horizontal="center" vertical="center"/>
    </xf>
    <xf numFmtId="4" fontId="22" fillId="12" borderId="1" xfId="8" applyNumberFormat="1" applyFont="1" applyFill="1" applyBorder="1" applyAlignment="1">
      <alignment horizontal="right" vertical="center"/>
    </xf>
    <xf numFmtId="10" fontId="22" fillId="12" borderId="1" xfId="8" applyNumberFormat="1" applyFont="1" applyFill="1" applyBorder="1" applyAlignment="1">
      <alignment horizontal="right" vertical="center"/>
    </xf>
    <xf numFmtId="0" fontId="25" fillId="0" borderId="0" xfId="1" applyNumberFormat="1" applyFont="1" applyAlignment="1">
      <alignment horizontal="center" vertical="center"/>
    </xf>
    <xf numFmtId="164" fontId="6" fillId="12" borderId="1" xfId="8" applyNumberFormat="1" applyFont="1" applyFill="1" applyBorder="1" applyAlignment="1">
      <alignment horizontal="right"/>
    </xf>
    <xf numFmtId="10" fontId="6" fillId="12" borderId="1" xfId="9" applyNumberFormat="1" applyFont="1" applyFill="1" applyBorder="1" applyAlignment="1">
      <alignment horizontal="right"/>
    </xf>
    <xf numFmtId="0" fontId="25" fillId="0" borderId="0" xfId="1" applyNumberFormat="1" applyFont="1"/>
    <xf numFmtId="0" fontId="25" fillId="0" borderId="0" xfId="1" applyNumberFormat="1" applyFont="1"/>
    <xf numFmtId="0" fontId="25" fillId="0" borderId="0" xfId="1" applyNumberFormat="1" applyFont="1" applyAlignment="1">
      <alignment horizontal="right"/>
    </xf>
    <xf numFmtId="4" fontId="6" fillId="12" borderId="1" xfId="8" applyNumberFormat="1" applyFont="1" applyFill="1" applyBorder="1" applyAlignment="1">
      <alignment horizontal="right"/>
    </xf>
    <xf numFmtId="10" fontId="6" fillId="12" borderId="1" xfId="8" applyNumberFormat="1" applyFont="1" applyFill="1" applyBorder="1" applyAlignment="1">
      <alignment horizontal="right"/>
    </xf>
    <xf numFmtId="10" fontId="22" fillId="13" borderId="1" xfId="8" applyNumberFormat="1" applyFont="1" applyFill="1" applyBorder="1" applyAlignment="1">
      <alignment horizontal="right" vertical="center"/>
    </xf>
    <xf numFmtId="4" fontId="22" fillId="13" borderId="1" xfId="8" applyNumberFormat="1" applyFont="1" applyFill="1" applyBorder="1" applyAlignment="1">
      <alignment horizontal="right" vertical="center"/>
    </xf>
    <xf numFmtId="0" fontId="25" fillId="0" borderId="0" xfId="0" applyFont="1" applyAlignment="1">
      <alignment horizontal="right"/>
    </xf>
    <xf numFmtId="0" fontId="12" fillId="10" borderId="1" xfId="1" applyNumberFormat="1" applyFont="1" applyFill="1" applyBorder="1" applyAlignment="1">
      <alignment horizontal="left" vertical="center" wrapText="1"/>
    </xf>
    <xf numFmtId="0" fontId="22" fillId="12" borderId="1" xfId="8" applyNumberFormat="1" applyFont="1" applyFill="1" applyBorder="1" applyAlignment="1">
      <alignment horizontal="left" vertical="center"/>
    </xf>
    <xf numFmtId="0" fontId="9" fillId="2" borderId="1" xfId="1" applyNumberFormat="1" applyFont="1" applyFill="1" applyBorder="1" applyAlignment="1">
      <alignment horizontal="center" vertical="center"/>
    </xf>
    <xf numFmtId="0" fontId="22" fillId="8" borderId="1" xfId="7" applyNumberFormat="1" applyFont="1" applyFill="1" applyBorder="1" applyAlignment="1">
      <alignment horizontal="left" vertical="center"/>
    </xf>
    <xf numFmtId="0" fontId="22"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0" fillId="0" borderId="0" xfId="0" applyNumberFormat="1" applyFont="1" applyAlignment="1">
      <alignment horizontal="right"/>
    </xf>
    <xf numFmtId="0" fontId="16" fillId="8" borderId="1" xfId="7" applyNumberFormat="1" applyFont="1" applyFill="1" applyBorder="1" applyAlignment="1">
      <alignment horizontal="left" vertical="center" wrapText="1"/>
    </xf>
    <xf numFmtId="0" fontId="16" fillId="8" borderId="1" xfId="7" applyNumberFormat="1" applyFont="1" applyFill="1" applyBorder="1" applyAlignment="1">
      <alignment horizontal="left" vertical="center"/>
    </xf>
    <xf numFmtId="0" fontId="6" fillId="12" borderId="1" xfId="8" applyNumberFormat="1" applyFont="1" applyFill="1" applyBorder="1" applyAlignment="1">
      <alignment horizontal="left"/>
    </xf>
    <xf numFmtId="0" fontId="6" fillId="8" borderId="1" xfId="7" applyNumberFormat="1" applyFont="1" applyFill="1" applyBorder="1" applyAlignment="1">
      <alignment horizontal="left" vertical="center"/>
    </xf>
    <xf numFmtId="0" fontId="7" fillId="0" borderId="0" xfId="0" applyNumberFormat="1" applyFont="1" applyAlignment="1">
      <alignment horizontal="left"/>
    </xf>
    <xf numFmtId="0" fontId="6" fillId="8" borderId="1" xfId="7" applyNumberFormat="1" applyFont="1" applyFill="1" applyBorder="1" applyAlignment="1">
      <alignment horizontal="left"/>
    </xf>
    <xf numFmtId="0" fontId="6" fillId="13" borderId="1" xfId="8" applyNumberFormat="1" applyFont="1" applyFill="1" applyBorder="1" applyAlignment="1">
      <alignment horizontal="left" vertical="center"/>
    </xf>
    <xf numFmtId="0" fontId="6" fillId="13" borderId="1" xfId="8" applyNumberFormat="1" applyFont="1" applyFill="1" applyBorder="1" applyAlignment="1">
      <alignment horizontal="left" vertical="center"/>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19" fillId="0" borderId="0" xfId="0" applyNumberFormat="1" applyFont="1" applyAlignment="1">
      <alignment horizontal="center" vertical="center"/>
    </xf>
    <xf numFmtId="49" fontId="11" fillId="11" borderId="1" xfId="0" applyNumberFormat="1" applyFont="1" applyFill="1" applyBorder="1" applyAlignment="1">
      <alignment horizontal="left" vertical="center" indent="1"/>
    </xf>
    <xf numFmtId="4" fontId="11" fillId="11" borderId="1" xfId="0" applyNumberFormat="1" applyFont="1" applyFill="1" applyBorder="1" applyAlignment="1">
      <alignment horizontal="right"/>
    </xf>
    <xf numFmtId="4" fontId="7" fillId="14" borderId="1" xfId="0" applyNumberFormat="1" applyFont="1" applyFill="1" applyBorder="1"/>
    <xf numFmtId="49" fontId="11" fillId="11" borderId="1" xfId="0" applyNumberFormat="1" applyFont="1" applyFill="1" applyBorder="1" applyAlignment="1">
      <alignment horizontal="left" indent="1"/>
    </xf>
    <xf numFmtId="10" fontId="11" fillId="11" borderId="1" xfId="0" applyNumberFormat="1" applyFont="1" applyFill="1" applyBorder="1" applyAlignment="1">
      <alignment horizontal="right"/>
    </xf>
    <xf numFmtId="10" fontId="7" fillId="14" borderId="1" xfId="0" applyNumberFormat="1" applyFont="1" applyFill="1" applyBorder="1"/>
    <xf numFmtId="4" fontId="11" fillId="11" borderId="1" xfId="0" applyNumberFormat="1" applyFont="1" applyFill="1" applyBorder="1" applyAlignment="1">
      <alignment horizontal="right" vertical="center"/>
    </xf>
    <xf numFmtId="4" fontId="7" fillId="14" borderId="1" xfId="0" applyNumberFormat="1" applyFont="1" applyFill="1" applyBorder="1" applyAlignment="1">
      <alignment horizontal="center" vertical="center"/>
    </xf>
    <xf numFmtId="49" fontId="26" fillId="15" borderId="1" xfId="8" applyNumberFormat="1" applyFont="1" applyFill="1" applyBorder="1" applyAlignment="1">
      <alignment horizontal="left" vertical="center" wrapText="1" indent="1"/>
    </xf>
    <xf numFmtId="164" fontId="26" fillId="15" borderId="1" xfId="8" applyNumberFormat="1" applyFont="1" applyFill="1" applyBorder="1" applyAlignment="1">
      <alignment horizontal="right" vertical="center"/>
    </xf>
    <xf numFmtId="49" fontId="27" fillId="16" borderId="1" xfId="6" applyNumberFormat="1" applyFont="1" applyFill="1" applyBorder="1" applyAlignment="1">
      <alignment horizontal="left" vertical="center" wrapText="1" indent="2"/>
    </xf>
    <xf numFmtId="164" fontId="27" fillId="16" borderId="1" xfId="6" applyNumberFormat="1" applyFont="1" applyFill="1" applyBorder="1" applyAlignment="1">
      <alignment horizontal="right" vertical="center"/>
    </xf>
    <xf numFmtId="49" fontId="7" fillId="11" borderId="1" xfId="1" applyNumberFormat="1" applyFont="1" applyFill="1" applyBorder="1" applyAlignment="1">
      <alignment horizontal="left" vertical="center" indent="3"/>
    </xf>
    <xf numFmtId="4" fontId="7" fillId="11" borderId="1" xfId="1" applyNumberFormat="1" applyFont="1" applyFill="1" applyBorder="1" applyAlignment="1">
      <alignment horizontal="right" vertical="center"/>
    </xf>
    <xf numFmtId="49" fontId="11" fillId="11" borderId="1" xfId="0" applyNumberFormat="1" applyFont="1" applyFill="1" applyBorder="1" applyAlignment="1">
      <alignment horizontal="left" vertical="center" indent="4"/>
    </xf>
    <xf numFmtId="0" fontId="7" fillId="14" borderId="1" xfId="0" applyFont="1" applyFill="1" applyBorder="1" applyAlignment="1">
      <alignment indent="4"/>
    </xf>
    <xf numFmtId="4" fontId="7" fillId="14" borderId="1" xfId="0" applyNumberFormat="1" applyFont="1" applyFill="1" applyBorder="1"/>
    <xf numFmtId="0" fontId="7" fillId="14" borderId="1" xfId="0" applyFont="1" applyFill="1" applyBorder="1" applyAlignment="1">
      <alignment indent="3"/>
    </xf>
    <xf numFmtId="0" fontId="23" fillId="17" borderId="1" xfId="0" applyFont="1" applyFill="1" applyBorder="1" applyAlignment="1">
      <alignment indent="2"/>
    </xf>
    <xf numFmtId="4" fontId="23" fillId="17" borderId="1" xfId="0" applyNumberFormat="1" applyFont="1" applyFill="1" applyBorder="1"/>
    <xf numFmtId="0" fontId="26" fillId="18" borderId="1" xfId="0" applyFont="1" applyFill="1" applyBorder="1" applyAlignment="1">
      <alignment indent="1"/>
    </xf>
    <xf numFmtId="4" fontId="26" fillId="18" borderId="1" xfId="0" applyNumberFormat="1" applyFont="1" applyFill="1" applyBorder="1"/>
    <xf numFmtId="49" fontId="26" fillId="19" borderId="1" xfId="7" applyNumberFormat="1" applyFont="1" applyFill="1" applyBorder="1" applyAlignment="1">
      <alignment horizontal="left" vertical="center" wrapText="1" indent="1"/>
    </xf>
    <xf numFmtId="164" fontId="26" fillId="19" borderId="1" xfId="7" applyNumberFormat="1" applyFont="1" applyFill="1" applyBorder="1" applyAlignment="1">
      <alignment horizontal="right" vertical="center"/>
    </xf>
    <xf numFmtId="49" fontId="27" fillId="20" borderId="1" xfId="5" applyNumberFormat="1" applyFont="1" applyFill="1" applyBorder="1" applyAlignment="1">
      <alignment horizontal="left" vertical="center" wrapText="1" indent="2"/>
    </xf>
    <xf numFmtId="164" fontId="27" fillId="20" borderId="1" xfId="5" applyNumberFormat="1" applyFont="1" applyFill="1" applyBorder="1" applyAlignment="1">
      <alignment horizontal="right" vertical="center"/>
    </xf>
    <xf numFmtId="0" fontId="23" fillId="21" borderId="1" xfId="0" applyFont="1" applyFill="1" applyBorder="1" applyAlignment="1">
      <alignment indent="2"/>
    </xf>
    <xf numFmtId="4" fontId="23" fillId="21" borderId="1" xfId="0" applyNumberFormat="1" applyFont="1" applyFill="1" applyBorder="1"/>
    <xf numFmtId="0" fontId="26" fillId="19" borderId="1" xfId="0" applyFont="1" applyFill="1" applyBorder="1" applyAlignment="1">
      <alignment indent="1"/>
    </xf>
    <xf numFmtId="4" fontId="26" fillId="19" borderId="1" xfId="0" applyNumberFormat="1" applyFont="1" applyFill="1" applyBorder="1"/>
    <xf numFmtId="49" fontId="23" fillId="22" borderId="1" xfId="1" applyNumberFormat="1" applyFont="1" applyFill="1" applyBorder="1" applyAlignment="1">
      <alignment horizontal="left" vertical="center" indent="1"/>
    </xf>
    <xf numFmtId="164" fontId="23" fillId="22" borderId="1" xfId="1" applyNumberFormat="1" applyFont="1" applyFill="1" applyBorder="1" applyAlignment="1">
      <alignment horizontal="right" vertical="center"/>
    </xf>
    <xf numFmtId="10" fontId="23" fillId="22" borderId="1" xfId="9" applyNumberFormat="1" applyFont="1" applyFill="1" applyBorder="1" applyAlignment="1">
      <alignment horizontal="right" vertical="center"/>
    </xf>
    <xf numFmtId="49" fontId="28" fillId="23" borderId="1" xfId="2" applyNumberFormat="1" applyFont="1" applyFill="1" applyBorder="1" applyAlignment="1">
      <alignment horizontal="left" vertical="center" indent="3"/>
    </xf>
    <xf numFmtId="164" fontId="28" fillId="23" borderId="1" xfId="2" applyNumberFormat="1" applyFont="1" applyFill="1" applyBorder="1" applyAlignment="1">
      <alignment horizontal="right" vertical="center"/>
    </xf>
    <xf numFmtId="10" fontId="28" fillId="23" borderId="1" xfId="9" applyNumberFormat="1" applyFont="1" applyFill="1" applyBorder="1" applyAlignment="1">
      <alignment horizontal="right" vertical="center"/>
    </xf>
    <xf numFmtId="49" fontId="20" fillId="11" borderId="1" xfId="0" applyNumberFormat="1" applyFont="1" applyFill="1" applyBorder="1" applyAlignment="1">
      <alignment horizontal="left" vertical="center" indent="4"/>
    </xf>
    <xf numFmtId="164" fontId="20" fillId="11" borderId="1" xfId="0" applyNumberFormat="1" applyFont="1" applyFill="1" applyBorder="1" applyAlignment="1">
      <alignment horizontal="right" vertical="center"/>
    </xf>
    <xf numFmtId="10" fontId="7" fillId="14" borderId="1" xfId="0" applyNumberFormat="1" applyFont="1" applyFill="1" applyBorder="1"/>
    <xf numFmtId="0" fontId="17" fillId="24" borderId="1" xfId="0" applyFont="1" applyFill="1" applyBorder="1" applyAlignment="1">
      <alignment indent="3"/>
    </xf>
    <xf numFmtId="4" fontId="17" fillId="24" borderId="1" xfId="0" applyNumberFormat="1" applyFont="1" applyFill="1" applyBorder="1"/>
    <xf numFmtId="10" fontId="17" fillId="24" borderId="1" xfId="0" applyNumberFormat="1" applyFont="1" applyFill="1" applyBorder="1"/>
    <xf numFmtId="0" fontId="23" fillId="14" borderId="1" xfId="0" applyFont="1" applyFill="1" applyBorder="1" applyAlignment="1">
      <alignment indent="2"/>
    </xf>
    <xf numFmtId="4" fontId="23" fillId="14" borderId="1" xfId="0" applyNumberFormat="1" applyFont="1" applyFill="1" applyBorder="1"/>
    <xf numFmtId="10" fontId="23" fillId="14" borderId="1" xfId="0" applyNumberFormat="1" applyFont="1" applyFill="1" applyBorder="1"/>
    <xf numFmtId="0" fontId="23" fillId="25" borderId="1" xfId="0" applyFont="1" applyFill="1" applyBorder="1" applyAlignment="1">
      <alignment indent="1"/>
    </xf>
    <xf numFmtId="4" fontId="23" fillId="25" borderId="1" xfId="0" applyNumberFormat="1" applyFont="1" applyFill="1" applyBorder="1"/>
    <xf numFmtId="10" fontId="23" fillId="25" borderId="1" xfId="0" applyNumberFormat="1" applyFont="1" applyFill="1" applyBorder="1"/>
    <xf numFmtId="49" fontId="28" fillId="16" borderId="1" xfId="3" applyNumberFormat="1" applyFont="1" applyFill="1" applyBorder="1" applyAlignment="1">
      <alignment horizontal="left" vertical="center" indent="3"/>
    </xf>
    <xf numFmtId="164" fontId="28" fillId="16" borderId="1" xfId="3" applyNumberFormat="1" applyFont="1" applyFill="1" applyBorder="1" applyAlignment="1">
      <alignment horizontal="right" vertical="center"/>
    </xf>
    <xf numFmtId="10" fontId="28" fillId="16" borderId="1" xfId="9" applyNumberFormat="1" applyFont="1" applyFill="1" applyBorder="1" applyAlignment="1">
      <alignment horizontal="right" vertical="center"/>
    </xf>
    <xf numFmtId="0" fontId="17" fillId="17" borderId="1" xfId="0" applyFont="1" applyFill="1" applyBorder="1" applyAlignment="1">
      <alignment indent="3"/>
    </xf>
    <xf numFmtId="4" fontId="17" fillId="17" borderId="1" xfId="0" applyNumberFormat="1" applyFont="1" applyFill="1" applyBorder="1"/>
    <xf numFmtId="10" fontId="17" fillId="17" borderId="1" xfId="0" applyNumberFormat="1" applyFont="1" applyFill="1" applyBorder="1"/>
    <xf numFmtId="49" fontId="29" fillId="26" borderId="1" xfId="0" applyNumberFormat="1" applyFont="1" applyFill="1" applyBorder="1" applyAlignment="1">
      <alignment horizontal="left" vertical="center" indent="3"/>
    </xf>
    <xf numFmtId="164" fontId="29" fillId="26" borderId="1" xfId="0" applyNumberFormat="1" applyFont="1" applyFill="1" applyBorder="1" applyAlignment="1">
      <alignment horizontal="right" vertical="center"/>
    </xf>
    <xf numFmtId="10" fontId="29" fillId="26" borderId="1" xfId="9" applyNumberFormat="1" applyFont="1" applyFill="1" applyBorder="1" applyAlignment="1">
      <alignment horizontal="right" vertical="center"/>
    </xf>
    <xf numFmtId="0" fontId="23" fillId="14" borderId="1" xfId="0" applyFont="1" applyFill="1" applyBorder="1" applyAlignment="1">
      <alignment wrapText="1" indent="2"/>
    </xf>
    <xf numFmtId="0" fontId="17" fillId="17" borderId="1" xfId="0" applyFont="1" applyFill="1" applyBorder="1" applyAlignment="1">
      <alignment wrapText="1" indent="3"/>
    </xf>
    <xf numFmtId="0" fontId="23" fillId="25" borderId="1" xfId="0" applyFont="1" applyFill="1" applyBorder="1" applyAlignment="1">
      <alignment wrapText="1" indent="1"/>
    </xf>
    <xf numFmtId="4"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0" fontId="7" fillId="14" borderId="1" xfId="1" applyNumberFormat="1" applyFont="1" applyFill="1" applyBorder="1" applyAlignment="1">
      <alignment horizontal="center" vertical="center" indent="3"/>
    </xf>
    <xf numFmtId="49" fontId="5" fillId="16" borderId="1" xfId="6" applyNumberFormat="1" applyFont="1" applyFill="1" applyBorder="1" applyAlignment="1">
      <alignment horizontal="left" vertical="center" indent="1"/>
    </xf>
    <xf numFmtId="4" fontId="5" fillId="16" borderId="1" xfId="6" applyNumberFormat="1" applyFont="1" applyFill="1" applyBorder="1" applyAlignment="1">
      <alignment horizontal="right" vertical="center"/>
    </xf>
    <xf numFmtId="10" fontId="5" fillId="16" borderId="1" xfId="6" applyNumberFormat="1" applyFont="1" applyFill="1" applyBorder="1" applyAlignment="1">
      <alignment horizontal="right" vertical="center"/>
    </xf>
    <xf numFmtId="0" fontId="30" fillId="17" borderId="1" xfId="0" applyFont="1" applyFill="1" applyBorder="1" applyAlignment="1">
      <alignment indent="1"/>
    </xf>
    <xf numFmtId="4" fontId="30" fillId="17" borderId="1" xfId="0" applyNumberFormat="1" applyFont="1" applyFill="1" applyBorder="1"/>
    <xf numFmtId="10" fontId="30" fillId="17" borderId="1" xfId="0" applyNumberFormat="1" applyFont="1" applyFill="1" applyBorder="1"/>
    <xf numFmtId="10" fontId="11" fillId="11" borderId="1" xfId="0" applyNumberFormat="1" applyFont="1" applyFill="1" applyBorder="1" applyAlignment="1">
      <alignment horizontal="right" vertical="center"/>
    </xf>
    <xf numFmtId="0" fontId="31" fillId="19" borderId="1" xfId="0" applyFont="1" applyFill="1" applyBorder="1"/>
    <xf numFmtId="4" fontId="31" fillId="19" borderId="1" xfId="0" applyNumberFormat="1" applyFont="1" applyFill="1" applyBorder="1"/>
    <xf numFmtId="0" fontId="31" fillId="27" borderId="1" xfId="0" applyFont="1" applyFill="1" applyBorder="1"/>
    <xf numFmtId="0" fontId="31" fillId="28" borderId="1" xfId="4" applyFont="1" applyFill="1" applyBorder="1"/>
    <xf numFmtId="4" fontId="31" fillId="28" borderId="1" xfId="4" applyNumberFormat="1" applyFont="1" applyFill="1" applyBorder="1"/>
    <xf numFmtId="0" fontId="31" fillId="19" borderId="1" xfId="0" applyFont="1" applyFill="1" applyBorder="1"/>
    <xf numFmtId="4" fontId="31" fillId="19" borderId="1" xfId="0" applyNumberFormat="1" applyFont="1" applyFill="1" applyBorder="1"/>
    <xf numFmtId="49" fontId="18" fillId="11" borderId="1" xfId="0" applyNumberFormat="1" applyFont="1" applyFill="1" applyBorder="1" applyAlignment="1">
      <alignment horizontal="left" vertical="center" indent="1"/>
    </xf>
    <xf numFmtId="4" fontId="18" fillId="11" borderId="1" xfId="0" applyNumberFormat="1" applyFont="1" applyFill="1" applyBorder="1" applyAlignment="1">
      <alignment horizontal="right" vertical="center"/>
    </xf>
    <xf numFmtId="10" fontId="18" fillId="11" borderId="1" xfId="0" applyNumberFormat="1" applyFont="1" applyFill="1" applyBorder="1" applyAlignment="1">
      <alignment horizontal="right" vertical="center"/>
    </xf>
    <xf numFmtId="0" fontId="7" fillId="14" borderId="1" xfId="0" applyFont="1" applyFill="1" applyBorder="1" applyAlignment="1">
      <alignment indent="1"/>
    </xf>
    <xf numFmtId="49" fontId="5" fillId="16" borderId="1" xfId="6" applyNumberFormat="1" applyFont="1" applyFill="1" applyBorder="1" applyAlignment="1">
      <alignment horizontal="left" indent="1"/>
    </xf>
    <xf numFmtId="164" fontId="5" fillId="16" borderId="1" xfId="6" applyNumberFormat="1" applyFont="1" applyFill="1" applyBorder="1" applyAlignment="1">
      <alignment horizontal="right"/>
    </xf>
    <xf numFmtId="10" fontId="5" fillId="16" borderId="1" xfId="9" applyNumberFormat="1" applyFont="1" applyFill="1" applyBorder="1" applyAlignment="1">
      <alignment horizontal="right"/>
    </xf>
    <xf numFmtId="49" fontId="11" fillId="11" borderId="1" xfId="0" applyNumberFormat="1" applyFont="1" applyFill="1" applyBorder="1" applyAlignment="1">
      <alignment horizontal="left" indent="2"/>
    </xf>
    <xf numFmtId="0" fontId="7" fillId="14" borderId="1" xfId="0" applyFont="1" applyFill="1" applyBorder="1" applyAlignment="1">
      <alignment horizontal="left" indent="1"/>
    </xf>
    <xf numFmtId="49" fontId="20" fillId="11" borderId="1" xfId="0" applyNumberFormat="1" applyFont="1" applyFill="1" applyBorder="1" applyAlignment="1">
      <alignment horizontal="left" indent="2"/>
    </xf>
    <xf numFmtId="164" fontId="20" fillId="11" borderId="1" xfId="0" applyNumberFormat="1" applyFont="1" applyFill="1" applyBorder="1" applyAlignment="1">
      <alignment horizontal="right"/>
    </xf>
    <xf numFmtId="0" fontId="7" fillId="14" borderId="1" xfId="0" applyFont="1" applyFill="1" applyBorder="1" applyAlignment="1">
      <alignment horizontal="left" indent="2"/>
    </xf>
    <xf numFmtId="0" fontId="30" fillId="17" borderId="1" xfId="0" applyFont="1" applyFill="1" applyBorder="1" applyAlignment="1">
      <alignment horizontal="left" indent="1"/>
    </xf>
    <xf numFmtId="4" fontId="11" fillId="14" borderId="1" xfId="0" applyNumberFormat="1" applyFont="1" applyFill="1" applyBorder="1" applyAlignment="1">
      <alignment horizontal="right" vertical="center"/>
    </xf>
    <xf numFmtId="4" fontId="11" fillId="14" borderId="1" xfId="0" applyNumberFormat="1" applyFont="1" applyFill="1" applyBorder="1" applyAlignment="1">
      <alignment horizontal="right" vertical="center"/>
    </xf>
    <xf numFmtId="4" fontId="5" fillId="16" borderId="1" xfId="6" applyNumberFormat="1" applyFont="1" applyFill="1" applyBorder="1" applyAlignment="1">
      <alignment horizontal="right"/>
    </xf>
    <xf numFmtId="10" fontId="5" fillId="16" borderId="1" xfId="6" applyNumberFormat="1" applyFont="1" applyFill="1" applyBorder="1" applyAlignment="1">
      <alignment horizontal="right"/>
    </xf>
    <xf numFmtId="0" fontId="7" fillId="14" borderId="1" xfId="0" applyFont="1" applyFill="1" applyBorder="1" applyAlignment="1">
      <alignment indent="2"/>
    </xf>
    <xf numFmtId="49" fontId="5" fillId="20" borderId="1" xfId="4" applyNumberFormat="1" applyFont="1" applyFill="1" applyBorder="1" applyAlignment="1">
      <alignment horizontal="left" indent="1"/>
    </xf>
    <xf numFmtId="164" fontId="5" fillId="20" borderId="1" xfId="4" applyNumberFormat="1" applyFont="1" applyFill="1" applyBorder="1" applyAlignment="1">
      <alignment horizontal="right"/>
    </xf>
    <xf numFmtId="10" fontId="5" fillId="20" borderId="1" xfId="9" applyNumberFormat="1" applyFont="1" applyFill="1" applyBorder="1" applyAlignment="1">
      <alignment horizontal="right"/>
    </xf>
    <xf numFmtId="0" fontId="30" fillId="21" borderId="1" xfId="0" applyFont="1" applyFill="1" applyBorder="1" applyAlignment="1">
      <alignment indent="1"/>
    </xf>
    <xf numFmtId="4" fontId="30" fillId="21" borderId="1" xfId="0" applyNumberFormat="1" applyFont="1" applyFill="1" applyBorder="1"/>
    <xf numFmtId="10" fontId="30" fillId="21" borderId="1" xfId="0" applyNumberFormat="1" applyFont="1" applyFill="1" applyBorder="1"/>
    <xf numFmtId="4" fontId="5" fillId="20" borderId="1" xfId="4" applyNumberFormat="1" applyFont="1" applyFill="1" applyBorder="1" applyAlignment="1">
      <alignment horizontal="right"/>
    </xf>
    <xf numFmtId="4" fontId="7" fillId="14" borderId="1" xfId="0" applyNumberFormat="1" applyFont="1" applyFill="1" applyBorder="1" applyAlignment="1">
      <alignment horizontal="right"/>
    </xf>
    <xf numFmtId="10" fontId="7" fillId="14" borderId="1" xfId="0" applyNumberFormat="1" applyFont="1" applyFill="1" applyBorder="1" applyAlignment="1">
      <alignment horizontal="right"/>
    </xf>
    <xf numFmtId="165" fontId="11" fillId="11" borderId="1" xfId="0" applyNumberFormat="1" applyFont="1" applyFill="1" applyBorder="1" applyAlignment="1">
      <alignment horizontal="right" vertical="center"/>
    </xf>
    <xf numFmtId="165" fontId="7" fillId="14" borderId="1" xfId="0" applyNumberFormat="1" applyFont="1" applyFill="1" applyBorder="1"/>
    <xf numFmtId="165" fontId="5" fillId="20" borderId="1" xfId="4" applyNumberFormat="1" applyFont="1" applyFill="1" applyBorder="1" applyAlignment="1">
      <alignment horizontal="right"/>
    </xf>
    <xf numFmtId="10" fontId="5" fillId="20" borderId="1" xfId="4" applyNumberFormat="1" applyFont="1" applyFill="1" applyBorder="1" applyAlignment="1">
      <alignment horizontal="right"/>
    </xf>
    <xf numFmtId="165" fontId="11" fillId="11" borderId="1" xfId="0" applyNumberFormat="1" applyFont="1" applyFill="1" applyBorder="1" applyAlignment="1">
      <alignment horizontal="right"/>
    </xf>
    <xf numFmtId="165" fontId="30" fillId="21" borderId="1" xfId="0" applyNumberFormat="1" applyFont="1" applyFill="1" applyBorder="1"/>
    <xf numFmtId="0" fontId="31" fillId="3" borderId="1" xfId="7" applyNumberFormat="1" applyFont="1" applyFill="1" applyBorder="1" applyAlignment="1">
      <alignment horizontal="left" vertical="center"/>
    </xf>
    <xf numFmtId="4" fontId="31" fillId="3" borderId="1" xfId="7" applyNumberFormat="1" applyFont="1" applyFill="1" applyBorder="1" applyAlignment="1">
      <alignment horizontal="right" vertical="center"/>
    </xf>
    <xf numFmtId="164" fontId="31" fillId="3" borderId="1" xfId="0" applyNumberFormat="1" applyFont="1" applyFill="1" applyBorder="1" applyAlignment="1">
      <alignment horizontal="right" vertical="center"/>
    </xf>
    <xf numFmtId="0" fontId="31" fillId="19" borderId="1" xfId="0" applyFont="1" applyFill="1" applyBorder="1"/>
    <xf numFmtId="4" fontId="31" fillId="19" borderId="1" xfId="0" applyNumberFormat="1" applyFont="1" applyFill="1" applyBorder="1"/>
    <xf numFmtId="0" fontId="31" fillId="27" borderId="1" xfId="0" applyFont="1" applyFill="1" applyBorder="1"/>
    <xf numFmtId="0" fontId="31" fillId="19" borderId="1" xfId="0" applyFont="1" applyFill="1" applyBorder="1"/>
    <xf numFmtId="4" fontId="31" fillId="19" borderId="1" xfId="0" applyNumberFormat="1" applyFont="1" applyFill="1" applyBorder="1"/>
    <xf numFmtId="0" fontId="4" fillId="0" borderId="0" xfId="0" applyFont="1" applyAlignment="1">
      <alignment horizontal="center" wrapText="1"/>
    </xf>
    <xf numFmtId="0" fontId="13" fillId="0" borderId="0" xfId="0" applyFont="1"/>
    <xf numFmtId="0" fontId="9" fillId="0" borderId="0" xfId="0" applyFont="1" applyAlignment="1">
      <alignment horizontal="center"/>
    </xf>
    <xf numFmtId="0" fontId="4" fillId="0" borderId="0" xfId="0" applyFont="1" applyAlignment="1">
      <alignment horizontal="center"/>
    </xf>
    <xf numFmtId="166" fontId="21" fillId="2" borderId="2" xfId="0" applyNumberFormat="1" applyFont="1" applyFill="1" applyBorder="1" applyAlignment="1">
      <alignment horizontal="center" vertical="center"/>
    </xf>
    <xf numFmtId="166" fontId="21" fillId="2" borderId="3" xfId="0" applyNumberFormat="1" applyFont="1" applyFill="1" applyBorder="1" applyAlignment="1">
      <alignment horizontal="center" vertical="center"/>
    </xf>
    <xf numFmtId="166" fontId="21" fillId="2" borderId="4" xfId="0" applyNumberFormat="1" applyFont="1" applyFill="1" applyBorder="1" applyAlignment="1">
      <alignment horizontal="center" vertical="center"/>
    </xf>
    <xf numFmtId="14" fontId="21" fillId="2" borderId="2" xfId="0" applyNumberFormat="1" applyFont="1" applyFill="1" applyBorder="1" applyAlignment="1">
      <alignment horizontal="center" vertical="center"/>
    </xf>
    <xf numFmtId="14" fontId="21" fillId="2" borderId="3" xfId="0" applyNumberFormat="1" applyFont="1" applyFill="1" applyBorder="1" applyAlignment="1">
      <alignment horizontal="center" vertical="center"/>
    </xf>
    <xf numFmtId="14" fontId="21" fillId="2" borderId="4" xfId="0" applyNumberFormat="1" applyFont="1" applyFill="1" applyBorder="1" applyAlignment="1">
      <alignment horizontal="center" vertical="center"/>
    </xf>
    <xf numFmtId="0" fontId="4" fillId="0" borderId="0" xfId="0" applyFont="1" applyAlignment="1">
      <alignment horizontal="center" vertical="center" wrapText="1"/>
    </xf>
    <xf numFmtId="0" fontId="13"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Державний та гарантований державою борг України за поточний рік (млрд. грн)</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Державний борг</c:v>
                </c:pt>
              </c:strCache>
            </c:strRef>
          </c:tx>
          <c:invertIfNegative val="0"/>
          <c:cat>
            <c:numRef>
              <c:f>MK_ALL!$B$5:$D$5</c:f>
              <c:numCache>
                <c:formatCode>dd\.mm\.yyyy;@</c:formatCode>
                <c:ptCount val="3"/>
                <c:pt idx="0">
                  <c:v>45657</c:v>
                </c:pt>
                <c:pt idx="1">
                  <c:v>45688</c:v>
                </c:pt>
                <c:pt idx="2">
                  <c:v>45716</c:v>
                </c:pt>
              </c:numCache>
            </c:numRef>
          </c:cat>
          <c:val>
            <c:numRef>
              <c:f>MK_ALL!$B$7:$D$7</c:f>
              <c:numCache>
                <c:formatCode>#,##0.00</c:formatCode>
                <c:ptCount val="3"/>
                <c:pt idx="0">
                  <c:v>6692.4537564279799</c:v>
                </c:pt>
                <c:pt idx="1">
                  <c:v>6778.89768375925</c:v>
                </c:pt>
                <c:pt idx="2">
                  <c:v>6740.16284326606</c:v>
                </c:pt>
              </c:numCache>
            </c:numRef>
          </c:val>
          <c:extLst>
            <c:ext xmlns:c16="http://schemas.microsoft.com/office/drawing/2014/chart" uri="{C3380CC4-5D6E-409C-BE32-E72D297353CC}">
              <c16:uniqueId val="{00000000-F164-4757-B8A2-B239781E846E}"/>
            </c:ext>
          </c:extLst>
        </c:ser>
        <c:ser>
          <c:idx val="2"/>
          <c:order val="1"/>
          <c:tx>
            <c:strRef>
              <c:f>MK_ALL!$A$8</c:f>
              <c:strCache>
                <c:ptCount val="1"/>
                <c:pt idx="0">
                  <c:v>Гарантований державою борг</c:v>
                </c:pt>
              </c:strCache>
            </c:strRef>
          </c:tx>
          <c:invertIfNegative val="0"/>
          <c:cat>
            <c:numRef>
              <c:f>MK_ALL!$B$5:$D$5</c:f>
              <c:numCache>
                <c:formatCode>dd\.mm\.yyyy;@</c:formatCode>
                <c:ptCount val="3"/>
                <c:pt idx="0">
                  <c:v>45657</c:v>
                </c:pt>
                <c:pt idx="1">
                  <c:v>45688</c:v>
                </c:pt>
                <c:pt idx="2">
                  <c:v>45716</c:v>
                </c:pt>
              </c:numCache>
            </c:numRef>
          </c:cat>
          <c:val>
            <c:numRef>
              <c:f>MK_ALL!$B$8:$D$8</c:f>
              <c:numCache>
                <c:formatCode>#,##0.00</c:formatCode>
                <c:ptCount val="3"/>
                <c:pt idx="0">
                  <c:v>288.51110931761002</c:v>
                </c:pt>
                <c:pt idx="1">
                  <c:v>289.11573385013003</c:v>
                </c:pt>
                <c:pt idx="2">
                  <c:v>279.37199832290003</c:v>
                </c:pt>
              </c:numCache>
            </c:numRef>
          </c:val>
          <c:extLst>
            <c:ext xmlns:c16="http://schemas.microsoft.com/office/drawing/2014/chart" uri="{C3380CC4-5D6E-409C-BE32-E72D297353CC}">
              <c16:uniqueId val="{00000001-F164-4757-B8A2-B239781E846E}"/>
            </c:ext>
          </c:extLst>
        </c:ser>
        <c:dLbls>
          <c:showLegendKey val="0"/>
          <c:showVal val="0"/>
          <c:showCatName val="0"/>
          <c:showSerName val="0"/>
          <c:showPercent val="0"/>
          <c:showBubbleSize val="0"/>
        </c:dLbls>
        <c:gapWidth val="150"/>
        <c:shape val="box"/>
        <c:axId val="2039619871"/>
        <c:axId val="1"/>
        <c:axId val="0"/>
      </c:bar3DChart>
      <c:dateAx>
        <c:axId val="203961987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2039619871"/>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Державний та гарантований державою борг України за станом на 28.02.2025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30A-4A18-BB54-29C637828254}"/>
              </c:ext>
            </c:extLst>
          </c:dPt>
          <c:dPt>
            <c:idx val="1"/>
            <c:bubble3D val="0"/>
            <c:extLst>
              <c:ext xmlns:c16="http://schemas.microsoft.com/office/drawing/2014/chart" uri="{C3380CC4-5D6E-409C-BE32-E72D297353CC}">
                <c16:uniqueId val="{00000001-930A-4A18-BB54-29C637828254}"/>
              </c:ext>
            </c:extLst>
          </c:dPt>
          <c:dPt>
            <c:idx val="2"/>
            <c:bubble3D val="0"/>
            <c:extLst>
              <c:ext xmlns:c16="http://schemas.microsoft.com/office/drawing/2014/chart" uri="{C3380CC4-5D6E-409C-BE32-E72D297353CC}">
                <c16:uniqueId val="{00000002-930A-4A18-BB54-29C637828254}"/>
              </c:ext>
            </c:extLst>
          </c:dPt>
          <c:dPt>
            <c:idx val="3"/>
            <c:bubble3D val="0"/>
            <c:extLst>
              <c:ext xmlns:c16="http://schemas.microsoft.com/office/drawing/2014/chart" uri="{C3380CC4-5D6E-409C-BE32-E72D297353CC}">
                <c16:uniqueId val="{00000003-930A-4A18-BB54-29C637828254}"/>
              </c:ext>
            </c:extLst>
          </c:dPt>
          <c:dPt>
            <c:idx val="4"/>
            <c:bubble3D val="0"/>
            <c:extLst>
              <c:ext xmlns:c16="http://schemas.microsoft.com/office/drawing/2014/chart" uri="{C3380CC4-5D6E-409C-BE32-E72D297353CC}">
                <c16:uniqueId val="{00000004-930A-4A18-BB54-29C637828254}"/>
              </c:ext>
            </c:extLst>
          </c:dPt>
          <c:dPt>
            <c:idx val="5"/>
            <c:bubble3D val="0"/>
            <c:extLst>
              <c:ext xmlns:c16="http://schemas.microsoft.com/office/drawing/2014/chart" uri="{C3380CC4-5D6E-409C-BE32-E72D297353CC}">
                <c16:uniqueId val="{00000005-930A-4A18-BB54-29C637828254}"/>
              </c:ext>
            </c:extLst>
          </c:dPt>
          <c:dPt>
            <c:idx val="6"/>
            <c:bubble3D val="0"/>
            <c:extLst>
              <c:ext xmlns:c16="http://schemas.microsoft.com/office/drawing/2014/chart" uri="{C3380CC4-5D6E-409C-BE32-E72D297353CC}">
                <c16:uniqueId val="{00000006-930A-4A18-BB54-29C637828254}"/>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CUR_M!$B$8:$B$14</c:f>
              <c:numCache>
                <c:formatCode>#,##0.00</c:formatCode>
                <c:ptCount val="7"/>
                <c:pt idx="0">
                  <c:v>0.19201022937000001</c:v>
                </c:pt>
                <c:pt idx="1">
                  <c:v>44.275476042720001</c:v>
                </c:pt>
                <c:pt idx="2">
                  <c:v>57.953509781809998</c:v>
                </c:pt>
                <c:pt idx="3">
                  <c:v>4.7017000289100004</c:v>
                </c:pt>
                <c:pt idx="4">
                  <c:v>18.775871222140001</c:v>
                </c:pt>
                <c:pt idx="5">
                  <c:v>42.298271469989999</c:v>
                </c:pt>
                <c:pt idx="6">
                  <c:v>0.89153723285999997</c:v>
                </c:pt>
              </c:numCache>
            </c:numRef>
          </c:val>
          <c:extLst>
            <c:ext xmlns:c16="http://schemas.microsoft.com/office/drawing/2014/chart" uri="{C3380CC4-5D6E-409C-BE32-E72D297353CC}">
              <c16:uniqueId val="{00000007-930A-4A18-BB54-29C63782825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87A-4316-B4ED-7BDDB0DEE4F4}"/>
              </c:ext>
            </c:extLst>
          </c:dPt>
          <c:dPt>
            <c:idx val="1"/>
            <c:bubble3D val="0"/>
            <c:extLst>
              <c:ext xmlns:c16="http://schemas.microsoft.com/office/drawing/2014/chart" uri="{C3380CC4-5D6E-409C-BE32-E72D297353CC}">
                <c16:uniqueId val="{00000001-087A-4316-B4ED-7BDDB0DEE4F4}"/>
              </c:ext>
            </c:extLst>
          </c:dPt>
          <c:dPt>
            <c:idx val="2"/>
            <c:bubble3D val="0"/>
            <c:extLst>
              <c:ext xmlns:c16="http://schemas.microsoft.com/office/drawing/2014/chart" uri="{C3380CC4-5D6E-409C-BE32-E72D297353CC}">
                <c16:uniqueId val="{00000002-087A-4316-B4ED-7BDDB0DEE4F4}"/>
              </c:ext>
            </c:extLst>
          </c:dPt>
          <c:dPt>
            <c:idx val="3"/>
            <c:bubble3D val="0"/>
            <c:extLst>
              <c:ext xmlns:c16="http://schemas.microsoft.com/office/drawing/2014/chart" uri="{C3380CC4-5D6E-409C-BE32-E72D297353CC}">
                <c16:uniqueId val="{00000003-087A-4316-B4ED-7BDDB0DEE4F4}"/>
              </c:ext>
            </c:extLst>
          </c:dPt>
          <c:dPt>
            <c:idx val="4"/>
            <c:bubble3D val="0"/>
            <c:extLst>
              <c:ext xmlns:c16="http://schemas.microsoft.com/office/drawing/2014/chart" uri="{C3380CC4-5D6E-409C-BE32-E72D297353CC}">
                <c16:uniqueId val="{00000004-087A-4316-B4ED-7BDDB0DEE4F4}"/>
              </c:ext>
            </c:extLst>
          </c:dPt>
          <c:dPt>
            <c:idx val="5"/>
            <c:bubble3D val="0"/>
            <c:extLst>
              <c:ext xmlns:c16="http://schemas.microsoft.com/office/drawing/2014/chart" uri="{C3380CC4-5D6E-409C-BE32-E72D297353CC}">
                <c16:uniqueId val="{00000005-087A-4316-B4ED-7BDDB0DEE4F4}"/>
              </c:ext>
            </c:extLst>
          </c:dPt>
          <c:dPt>
            <c:idx val="6"/>
            <c:bubble3D val="0"/>
            <c:extLst>
              <c:ext xmlns:c16="http://schemas.microsoft.com/office/drawing/2014/chart" uri="{C3380CC4-5D6E-409C-BE32-E72D297353CC}">
                <c16:uniqueId val="{00000006-087A-4316-B4ED-7BDDB0DEE4F4}"/>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CUR!$A$25:$A$31</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CUR!$B$25:$B$31</c:f>
              <c:numCache>
                <c:formatCode>#,##0.00</c:formatCode>
                <c:ptCount val="7"/>
                <c:pt idx="0">
                  <c:v>0.19201022937000001</c:v>
                </c:pt>
                <c:pt idx="1">
                  <c:v>41.723724644720001</c:v>
                </c:pt>
                <c:pt idx="2">
                  <c:v>56.455233117829998</c:v>
                </c:pt>
                <c:pt idx="3">
                  <c:v>4.7017000289100004</c:v>
                </c:pt>
                <c:pt idx="4">
                  <c:v>17.649558838250002</c:v>
                </c:pt>
                <c:pt idx="5">
                  <c:v>40.745026756080001</c:v>
                </c:pt>
                <c:pt idx="6">
                  <c:v>0.89153723285999997</c:v>
                </c:pt>
              </c:numCache>
            </c:numRef>
          </c:val>
          <c:extLst>
            <c:ext xmlns:c16="http://schemas.microsoft.com/office/drawing/2014/chart" uri="{C3380CC4-5D6E-409C-BE32-E72D297353CC}">
              <c16:uniqueId val="{00000007-087A-4316-B4ED-7BDDB0DEE4F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Державний та гарантований державою борг України
станом на 28.02.2025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E30-4619-9486-F8C85A2DE8A2}"/>
              </c:ext>
            </c:extLst>
          </c:dPt>
          <c:dPt>
            <c:idx val="1"/>
            <c:bubble3D val="0"/>
            <c:extLst>
              <c:ext xmlns:c16="http://schemas.microsoft.com/office/drawing/2014/chart" uri="{C3380CC4-5D6E-409C-BE32-E72D297353CC}">
                <c16:uniqueId val="{00000001-3E30-4619-9486-F8C85A2DE8A2}"/>
              </c:ext>
            </c:extLst>
          </c:dPt>
          <c:dPt>
            <c:idx val="2"/>
            <c:bubble3D val="0"/>
            <c:extLst>
              <c:ext xmlns:c16="http://schemas.microsoft.com/office/drawing/2014/chart" uri="{C3380CC4-5D6E-409C-BE32-E72D297353CC}">
                <c16:uniqueId val="{00000002-3E30-4619-9486-F8C85A2DE8A2}"/>
              </c:ext>
            </c:extLst>
          </c:dPt>
          <c:dPt>
            <c:idx val="3"/>
            <c:bubble3D val="0"/>
            <c:extLst>
              <c:ext xmlns:c16="http://schemas.microsoft.com/office/drawing/2014/chart" uri="{C3380CC4-5D6E-409C-BE32-E72D297353CC}">
                <c16:uniqueId val="{00000003-3E30-4619-9486-F8C85A2DE8A2}"/>
              </c:ext>
            </c:extLst>
          </c:dPt>
          <c:dPt>
            <c:idx val="4"/>
            <c:bubble3D val="0"/>
            <c:extLst>
              <c:ext xmlns:c16="http://schemas.microsoft.com/office/drawing/2014/chart" uri="{C3380CC4-5D6E-409C-BE32-E72D297353CC}">
                <c16:uniqueId val="{00000004-3E30-4619-9486-F8C85A2DE8A2}"/>
              </c:ext>
            </c:extLst>
          </c:dPt>
          <c:dPt>
            <c:idx val="5"/>
            <c:bubble3D val="0"/>
            <c:extLst>
              <c:ext xmlns:c16="http://schemas.microsoft.com/office/drawing/2014/chart" uri="{C3380CC4-5D6E-409C-BE32-E72D297353CC}">
                <c16:uniqueId val="{00000005-3E30-4619-9486-F8C85A2DE8A2}"/>
              </c:ext>
            </c:extLst>
          </c:dPt>
          <c:dPt>
            <c:idx val="6"/>
            <c:bubble3D val="0"/>
            <c:extLst>
              <c:ext xmlns:c16="http://schemas.microsoft.com/office/drawing/2014/chart" uri="{C3380CC4-5D6E-409C-BE32-E72D297353CC}">
                <c16:uniqueId val="{00000006-3E30-4619-9486-F8C85A2DE8A2}"/>
              </c:ext>
            </c:extLst>
          </c:dPt>
          <c:dPt>
            <c:idx val="7"/>
            <c:bubble3D val="0"/>
            <c:extLst>
              <c:ext xmlns:c16="http://schemas.microsoft.com/office/drawing/2014/chart" uri="{C3380CC4-5D6E-409C-BE32-E72D297353CC}">
                <c16:uniqueId val="{00000007-3E30-4619-9486-F8C85A2DE8A2}"/>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E30-4619-9486-F8C85A2DE8A2}"/>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E30-4619-9486-F8C85A2DE8A2}"/>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30-4619-9486-F8C85A2DE8A2}"/>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E30-4619-9486-F8C85A2DE8A2}"/>
                </c:ext>
              </c:extLst>
            </c:dLbl>
            <c:dLbl>
              <c:idx val="5"/>
              <c:layout>
                <c:manualLayout>
                  <c:x val="1.0304930976569315E-3"/>
                  <c:y val="-0.5588444823774936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30-4619-9486-F8C85A2DE8A2}"/>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E30-4619-9486-F8C85A2DE8A2}"/>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44.385930481640003</c:v>
                </c:pt>
                <c:pt idx="1">
                  <c:v>1.6901296730599999</c:v>
                </c:pt>
                <c:pt idx="2">
                  <c:v>2.2995859999999998E-5</c:v>
                </c:pt>
                <c:pt idx="3">
                  <c:v>19.044165083999999</c:v>
                </c:pt>
                <c:pt idx="4">
                  <c:v>1.6297199570400001</c:v>
                </c:pt>
                <c:pt idx="5">
                  <c:v>88.94558423094</c:v>
                </c:pt>
                <c:pt idx="6">
                  <c:v>9.1547116585400001</c:v>
                </c:pt>
                <c:pt idx="7">
                  <c:v>4.2381119267200003</c:v>
                </c:pt>
              </c:numCache>
            </c:numRef>
          </c:val>
          <c:extLst>
            <c:ext xmlns:c16="http://schemas.microsoft.com/office/drawing/2014/chart" uri="{C3380CC4-5D6E-409C-BE32-E72D297353CC}">
              <c16:uniqueId val="{00000008-3E30-4619-9486-F8C85A2DE8A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518-42D4-8784-58A789148A90}"/>
              </c:ext>
            </c:extLst>
          </c:dPt>
          <c:dPt>
            <c:idx val="1"/>
            <c:bubble3D val="0"/>
            <c:extLst>
              <c:ext xmlns:c16="http://schemas.microsoft.com/office/drawing/2014/chart" uri="{C3380CC4-5D6E-409C-BE32-E72D297353CC}">
                <c16:uniqueId val="{00000001-6518-42D4-8784-58A789148A90}"/>
              </c:ext>
            </c:extLst>
          </c:dPt>
          <c:dPt>
            <c:idx val="2"/>
            <c:bubble3D val="0"/>
            <c:extLst>
              <c:ext xmlns:c16="http://schemas.microsoft.com/office/drawing/2014/chart" uri="{C3380CC4-5D6E-409C-BE32-E72D297353CC}">
                <c16:uniqueId val="{00000002-6518-42D4-8784-58A789148A90}"/>
              </c:ext>
            </c:extLst>
          </c:dPt>
          <c:dPt>
            <c:idx val="3"/>
            <c:bubble3D val="0"/>
            <c:extLst>
              <c:ext xmlns:c16="http://schemas.microsoft.com/office/drawing/2014/chart" uri="{C3380CC4-5D6E-409C-BE32-E72D297353CC}">
                <c16:uniqueId val="{00000003-6518-42D4-8784-58A789148A90}"/>
              </c:ext>
            </c:extLst>
          </c:dPt>
          <c:dPt>
            <c:idx val="4"/>
            <c:bubble3D val="0"/>
            <c:extLst>
              <c:ext xmlns:c16="http://schemas.microsoft.com/office/drawing/2014/chart" uri="{C3380CC4-5D6E-409C-BE32-E72D297353CC}">
                <c16:uniqueId val="{00000004-6518-42D4-8784-58A789148A90}"/>
              </c:ext>
            </c:extLst>
          </c:dPt>
          <c:dPt>
            <c:idx val="5"/>
            <c:bubble3D val="0"/>
            <c:extLst>
              <c:ext xmlns:c16="http://schemas.microsoft.com/office/drawing/2014/chart" uri="{C3380CC4-5D6E-409C-BE32-E72D297353CC}">
                <c16:uniqueId val="{00000005-6518-42D4-8784-58A789148A90}"/>
              </c:ext>
            </c:extLst>
          </c:dPt>
          <c:dPt>
            <c:idx val="6"/>
            <c:bubble3D val="0"/>
            <c:extLst>
              <c:ext xmlns:c16="http://schemas.microsoft.com/office/drawing/2014/chart" uri="{C3380CC4-5D6E-409C-BE32-E72D297353CC}">
                <c16:uniqueId val="{00000006-6518-42D4-8784-58A789148A90}"/>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18-42D4-8784-58A789148A90}"/>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18-42D4-8784-58A789148A90}"/>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18-42D4-8784-58A789148A90}"/>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18-42D4-8784-58A789148A90}"/>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18-42D4-8784-58A789148A90}"/>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518-42D4-8784-58A789148A90}"/>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'DKR2'!$A$10:$A$16</c:f>
              <c:strCache>
                <c:ptCount val="7"/>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strCache>
            </c:strRef>
          </c:cat>
          <c:val>
            <c:numRef>
              <c:f>'DKR2'!$B$10:$B$16</c:f>
              <c:numCache>
                <c:formatCode>#,##0.00</c:formatCode>
                <c:ptCount val="7"/>
                <c:pt idx="0">
                  <c:v>44.278135241480001</c:v>
                </c:pt>
                <c:pt idx="1">
                  <c:v>3.5043063729999997E-2</c:v>
                </c:pt>
                <c:pt idx="2">
                  <c:v>18.219165084</c:v>
                </c:pt>
                <c:pt idx="3">
                  <c:v>1.45118764899</c:v>
                </c:pt>
                <c:pt idx="4">
                  <c:v>85.946924079140004</c:v>
                </c:pt>
                <c:pt idx="5">
                  <c:v>8.2968334944599995</c:v>
                </c:pt>
                <c:pt idx="6">
                  <c:v>4.1315022362200002</c:v>
                </c:pt>
              </c:numCache>
            </c:numRef>
          </c:val>
          <c:extLst>
            <c:ext xmlns:c16="http://schemas.microsoft.com/office/drawing/2014/chart" uri="{C3380CC4-5D6E-409C-BE32-E72D297353CC}">
              <c16:uniqueId val="{00000007-6518-42D4-8784-58A789148A9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A3C1-41A1-BA38-433F39678983}"/>
              </c:ext>
            </c:extLst>
          </c:dPt>
          <c:dPt>
            <c:idx val="1"/>
            <c:bubble3D val="0"/>
            <c:extLst>
              <c:ext xmlns:c16="http://schemas.microsoft.com/office/drawing/2014/chart" uri="{C3380CC4-5D6E-409C-BE32-E72D297353CC}">
                <c16:uniqueId val="{00000001-A3C1-41A1-BA38-433F39678983}"/>
              </c:ext>
            </c:extLst>
          </c:dPt>
          <c:dPt>
            <c:idx val="2"/>
            <c:bubble3D val="0"/>
            <c:extLst>
              <c:ext xmlns:c16="http://schemas.microsoft.com/office/drawing/2014/chart" uri="{C3380CC4-5D6E-409C-BE32-E72D297353CC}">
                <c16:uniqueId val="{00000002-A3C1-41A1-BA38-433F39678983}"/>
              </c:ext>
            </c:extLst>
          </c:dPt>
          <c:dPt>
            <c:idx val="3"/>
            <c:bubble3D val="0"/>
            <c:extLst>
              <c:ext xmlns:c16="http://schemas.microsoft.com/office/drawing/2014/chart" uri="{C3380CC4-5D6E-409C-BE32-E72D297353CC}">
                <c16:uniqueId val="{00000003-A3C1-41A1-BA38-433F39678983}"/>
              </c:ext>
            </c:extLst>
          </c:dPt>
          <c:dPt>
            <c:idx val="4"/>
            <c:bubble3D val="0"/>
            <c:extLst>
              <c:ext xmlns:c16="http://schemas.microsoft.com/office/drawing/2014/chart" uri="{C3380CC4-5D6E-409C-BE32-E72D297353CC}">
                <c16:uniqueId val="{00000004-A3C1-41A1-BA38-433F39678983}"/>
              </c:ext>
            </c:extLst>
          </c:dPt>
          <c:dPt>
            <c:idx val="5"/>
            <c:bubble3D val="0"/>
            <c:extLst>
              <c:ext xmlns:c16="http://schemas.microsoft.com/office/drawing/2014/chart" uri="{C3380CC4-5D6E-409C-BE32-E72D297353CC}">
                <c16:uniqueId val="{00000005-A3C1-41A1-BA38-433F39678983}"/>
              </c:ext>
            </c:extLst>
          </c:dPt>
          <c:dPt>
            <c:idx val="6"/>
            <c:bubble3D val="0"/>
            <c:extLst>
              <c:ext xmlns:c16="http://schemas.microsoft.com/office/drawing/2014/chart" uri="{C3380CC4-5D6E-409C-BE32-E72D297353CC}">
                <c16:uniqueId val="{00000006-A3C1-41A1-BA38-433F39678983}"/>
              </c:ext>
            </c:extLst>
          </c:dPt>
          <c:dPt>
            <c:idx val="7"/>
            <c:bubble3D val="0"/>
            <c:extLst>
              <c:ext xmlns:c16="http://schemas.microsoft.com/office/drawing/2014/chart" uri="{C3380CC4-5D6E-409C-BE32-E72D297353CC}">
                <c16:uniqueId val="{00000007-A3C1-41A1-BA38-433F39678983}"/>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3C1-41A1-BA38-433F39678983}"/>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3C1-41A1-BA38-433F39678983}"/>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3C1-41A1-BA38-433F39678983}"/>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3C1-41A1-BA38-433F39678983}"/>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3C1-41A1-BA38-433F39678983}"/>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3C1-41A1-BA38-433F39678983}"/>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'DKR2'!$A$18:$A$25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'DKR2'!$B$18:$B$25</c:f>
              <c:numCache>
                <c:formatCode>#,##0.00</c:formatCode>
                <c:ptCount val="8"/>
                <c:pt idx="0">
                  <c:v>0.10779524016</c:v>
                </c:pt>
                <c:pt idx="1">
                  <c:v>1.6550866093300001</c:v>
                </c:pt>
                <c:pt idx="2">
                  <c:v>2.2995859999999998E-5</c:v>
                </c:pt>
                <c:pt idx="3">
                  <c:v>0.82499999999999996</c:v>
                </c:pt>
                <c:pt idx="4">
                  <c:v>0.17853230805</c:v>
                </c:pt>
                <c:pt idx="5">
                  <c:v>2.9986601517999998</c:v>
                </c:pt>
                <c:pt idx="6">
                  <c:v>0.85787816407999995</c:v>
                </c:pt>
                <c:pt idx="7">
                  <c:v>0.10660969050000001</c:v>
                </c:pt>
              </c:numCache>
            </c:numRef>
          </c:val>
          <c:extLst>
            <c:ext xmlns:c16="http://schemas.microsoft.com/office/drawing/2014/chart" uri="{C3380CC4-5D6E-409C-BE32-E72D297353CC}">
              <c16:uniqueId val="{00000008-A3C1-41A1-BA38-433F3967898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Державний та гарантований державою борг України за останні 5 років (млрд. дол. США)</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45716</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46.076083150560002</c:v>
                </c:pt>
              </c:numCache>
            </c:numRef>
          </c:val>
          <c:extLst>
            <c:ext xmlns:c16="http://schemas.microsoft.com/office/drawing/2014/chart" uri="{C3380CC4-5D6E-409C-BE32-E72D297353CC}">
              <c16:uniqueId val="{00000000-A71F-4760-813F-799D3998FCF8}"/>
            </c:ext>
          </c:extLst>
        </c:ser>
        <c:ser>
          <c:idx val="1"/>
          <c:order val="1"/>
          <c:tx>
            <c:strRef>
              <c:f>YT_ALL!$A$14</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45716</c:v>
                </c:pt>
              </c:numCache>
            </c:numRef>
          </c:cat>
          <c:val>
            <c:numRef>
              <c:f>YT_ALL!$B$14:$G$14</c:f>
              <c:numCache>
                <c:formatCode>#,##0.00</c:formatCode>
                <c:ptCount val="6"/>
                <c:pt idx="0">
                  <c:v>53.720812597209999</c:v>
                </c:pt>
                <c:pt idx="1">
                  <c:v>57.205466601799998</c:v>
                </c:pt>
                <c:pt idx="2">
                  <c:v>71.473331067700002</c:v>
                </c:pt>
                <c:pt idx="3">
                  <c:v>101.70866387616</c:v>
                </c:pt>
                <c:pt idx="4">
                  <c:v>120.09028008225999</c:v>
                </c:pt>
                <c:pt idx="5">
                  <c:v>123.01229285724</c:v>
                </c:pt>
              </c:numCache>
            </c:numRef>
          </c:val>
          <c:extLst>
            <c:ext xmlns:c16="http://schemas.microsoft.com/office/drawing/2014/chart" uri="{C3380CC4-5D6E-409C-BE32-E72D297353CC}">
              <c16:uniqueId val="{00000001-A71F-4760-813F-799D3998FCF8}"/>
            </c:ext>
          </c:extLst>
        </c:ser>
        <c:dLbls>
          <c:showLegendKey val="0"/>
          <c:showVal val="0"/>
          <c:showCatName val="0"/>
          <c:showSerName val="0"/>
          <c:showPercent val="0"/>
          <c:showBubbleSize val="0"/>
        </c:dLbls>
        <c:gapWidth val="150"/>
        <c:shape val="box"/>
        <c:axId val="1901451407"/>
        <c:axId val="1"/>
        <c:axId val="0"/>
      </c:bar3DChart>
      <c:dateAx>
        <c:axId val="190145140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90145140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Державний та гарантований державою борг України за останні 5 років (млрд. грн)</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45716</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1912.8025159085</c:v>
                </c:pt>
              </c:numCache>
            </c:numRef>
          </c:val>
          <c:extLst>
            <c:ext xmlns:c16="http://schemas.microsoft.com/office/drawing/2014/chart" uri="{C3380CC4-5D6E-409C-BE32-E72D297353CC}">
              <c16:uniqueId val="{00000000-0FF6-4561-A61E-CA663CB5CD3C}"/>
            </c:ext>
          </c:extLst>
        </c:ser>
        <c:ser>
          <c:idx val="1"/>
          <c:order val="1"/>
          <c:tx>
            <c:strRef>
              <c:f>YT_ALL!$A$8</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45716</c:v>
                </c:pt>
              </c:numCache>
            </c:numRef>
          </c:cat>
          <c:val>
            <c:numRef>
              <c:f>YT_ALL!$B$8:$G$8</c:f>
              <c:numCache>
                <c:formatCode>#,##0.00</c:formatCode>
                <c:ptCount val="6"/>
                <c:pt idx="0">
                  <c:v>1518.9344878609099</c:v>
                </c:pt>
                <c:pt idx="1">
                  <c:v>1560.4621590567101</c:v>
                </c:pt>
                <c:pt idx="2">
                  <c:v>2613.6796544812701</c:v>
                </c:pt>
                <c:pt idx="3">
                  <c:v>3863.13915481087</c:v>
                </c:pt>
                <c:pt idx="4">
                  <c:v>5048.4752843821498</c:v>
                </c:pt>
                <c:pt idx="5">
                  <c:v>5106.7323256804602</c:v>
                </c:pt>
              </c:numCache>
            </c:numRef>
          </c:val>
          <c:extLst>
            <c:ext xmlns:c16="http://schemas.microsoft.com/office/drawing/2014/chart" uri="{C3380CC4-5D6E-409C-BE32-E72D297353CC}">
              <c16:uniqueId val="{00000001-0FF6-4561-A61E-CA663CB5CD3C}"/>
            </c:ext>
          </c:extLst>
        </c:ser>
        <c:dLbls>
          <c:showLegendKey val="0"/>
          <c:showVal val="0"/>
          <c:showCatName val="0"/>
          <c:showSerName val="0"/>
          <c:showPercent val="0"/>
          <c:showBubbleSize val="0"/>
        </c:dLbls>
        <c:gapWidth val="150"/>
        <c:shape val="box"/>
        <c:axId val="1901450159"/>
        <c:axId val="1"/>
        <c:axId val="0"/>
      </c:bar3DChart>
      <c:dateAx>
        <c:axId val="190145015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901450159"/>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Динаміка державного боргу за останні 5 років
(відсоткова структура)</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45716</c:v>
                </c:pt>
              </c:numCache>
            </c:numRef>
          </c:cat>
          <c:val>
            <c:numRef>
              <c:f>YT_ALL!$B$19:$G$19</c:f>
              <c:numCache>
                <c:formatCode>0.00%</c:formatCode>
                <c:ptCount val="6"/>
                <c:pt idx="0">
                  <c:v>0.404779</c:v>
                </c:pt>
                <c:pt idx="1">
                  <c:v>0.41600799999999999</c:v>
                </c:pt>
                <c:pt idx="2">
                  <c:v>0.35869600000000001</c:v>
                </c:pt>
                <c:pt idx="3">
                  <c:v>0.30010999999999999</c:v>
                </c:pt>
                <c:pt idx="4">
                  <c:v>0.27682299999999999</c:v>
                </c:pt>
                <c:pt idx="5">
                  <c:v>0.27249699999999999</c:v>
                </c:pt>
              </c:numCache>
            </c:numRef>
          </c:val>
          <c:extLst>
            <c:ext xmlns:c16="http://schemas.microsoft.com/office/drawing/2014/chart" uri="{C3380CC4-5D6E-409C-BE32-E72D297353CC}">
              <c16:uniqueId val="{00000000-F233-44E5-8A8E-44BA48AFD072}"/>
            </c:ext>
          </c:extLst>
        </c:ser>
        <c:ser>
          <c:idx val="1"/>
          <c:order val="1"/>
          <c:tx>
            <c:strRef>
              <c:f>YT_ALL!$A$20</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45716</c:v>
                </c:pt>
              </c:numCache>
            </c:numRef>
          </c:cat>
          <c:val>
            <c:numRef>
              <c:f>YT_ALL!$B$20:$G$20</c:f>
              <c:numCache>
                <c:formatCode>0.00%</c:formatCode>
                <c:ptCount val="6"/>
                <c:pt idx="0">
                  <c:v>0.595221</c:v>
                </c:pt>
                <c:pt idx="1">
                  <c:v>0.58399199999999996</c:v>
                </c:pt>
                <c:pt idx="2">
                  <c:v>0.64130399999999999</c:v>
                </c:pt>
                <c:pt idx="3">
                  <c:v>0.69989000000000001</c:v>
                </c:pt>
                <c:pt idx="4">
                  <c:v>0.72317699999999996</c:v>
                </c:pt>
                <c:pt idx="5">
                  <c:v>0.72750300000000001</c:v>
                </c:pt>
              </c:numCache>
            </c:numRef>
          </c:val>
          <c:extLst>
            <c:ext xmlns:c16="http://schemas.microsoft.com/office/drawing/2014/chart" uri="{C3380CC4-5D6E-409C-BE32-E72D297353CC}">
              <c16:uniqueId val="{00000001-F233-44E5-8A8E-44BA48AFD072}"/>
            </c:ext>
          </c:extLst>
        </c:ser>
        <c:dLbls>
          <c:showLegendKey val="0"/>
          <c:showVal val="0"/>
          <c:showCatName val="0"/>
          <c:showSerName val="0"/>
          <c:showPercent val="0"/>
          <c:showBubbleSize val="0"/>
        </c:dLbls>
        <c:gapWidth val="150"/>
        <c:shape val="box"/>
        <c:axId val="1901451823"/>
        <c:axId val="1"/>
        <c:axId val="0"/>
      </c:bar3DChart>
      <c:dateAx>
        <c:axId val="1901451823"/>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901451823"/>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Державний та гарантований державою борг України за останні 5 років
(млрд. грн)</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YTM_ALL!$B$6:$G$6</c:f>
              <c:numCache>
                <c:formatCode>#\ ##0.00;\-#\ ##0.00;</c:formatCode>
                <c:ptCount val="6"/>
                <c:pt idx="0">
                  <c:v>2551.8817252042099</c:v>
                </c:pt>
                <c:pt idx="1">
                  <c:v>2672.0600203157701</c:v>
                </c:pt>
                <c:pt idx="2">
                  <c:v>4075.5678381492698</c:v>
                </c:pt>
                <c:pt idx="3">
                  <c:v>5519.6354586101497</c:v>
                </c:pt>
                <c:pt idx="4">
                  <c:v>6980.96486574559</c:v>
                </c:pt>
                <c:pt idx="5">
                  <c:v>7019.5348415889603</c:v>
                </c:pt>
              </c:numCache>
            </c:numRef>
          </c:val>
          <c:extLst>
            <c:ext xmlns:c16="http://schemas.microsoft.com/office/drawing/2014/chart" uri="{C3380CC4-5D6E-409C-BE32-E72D297353CC}">
              <c16:uniqueId val="{00000000-65BD-4C2B-AB44-CABA9237B682}"/>
            </c:ext>
          </c:extLst>
        </c:ser>
        <c:ser>
          <c:idx val="1"/>
          <c:order val="1"/>
          <c:tx>
            <c:strRef>
              <c:f>YTM_ALL!$A$7</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1912.8025159085</c:v>
                </c:pt>
              </c:numCache>
            </c:numRef>
          </c:val>
          <c:extLst>
            <c:ext xmlns:c16="http://schemas.microsoft.com/office/drawing/2014/chart" uri="{C3380CC4-5D6E-409C-BE32-E72D297353CC}">
              <c16:uniqueId val="{00000001-65BD-4C2B-AB44-CABA9237B682}"/>
            </c:ext>
          </c:extLst>
        </c:ser>
        <c:ser>
          <c:idx val="0"/>
          <c:order val="2"/>
          <c:tx>
            <c:strRef>
              <c:f>YTM_ALL!$A$8</c:f>
              <c:strCache>
                <c:ptCount val="1"/>
                <c:pt idx="0">
                  <c:v>Зовнішній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YTM_ALL!$B$8:$G$8</c:f>
              <c:numCache>
                <c:formatCode>#,##0.00</c:formatCode>
                <c:ptCount val="6"/>
                <c:pt idx="0">
                  <c:v>1518.9344878609099</c:v>
                </c:pt>
                <c:pt idx="1">
                  <c:v>1560.4621590567101</c:v>
                </c:pt>
                <c:pt idx="2">
                  <c:v>2613.6796544812701</c:v>
                </c:pt>
                <c:pt idx="3">
                  <c:v>3863.13915481087</c:v>
                </c:pt>
                <c:pt idx="4">
                  <c:v>5048.4752843821498</c:v>
                </c:pt>
                <c:pt idx="5">
                  <c:v>5106.7323256804602</c:v>
                </c:pt>
              </c:numCache>
            </c:numRef>
          </c:val>
          <c:extLst>
            <c:ext xmlns:c16="http://schemas.microsoft.com/office/drawing/2014/chart" uri="{C3380CC4-5D6E-409C-BE32-E72D297353CC}">
              <c16:uniqueId val="{00000002-65BD-4C2B-AB44-CABA9237B682}"/>
            </c:ext>
          </c:extLst>
        </c:ser>
        <c:dLbls>
          <c:showLegendKey val="0"/>
          <c:showVal val="0"/>
          <c:showCatName val="0"/>
          <c:showSerName val="0"/>
          <c:showPercent val="0"/>
          <c:showBubbleSize val="0"/>
        </c:dLbls>
        <c:gapWidth val="150"/>
        <c:shape val="box"/>
        <c:axId val="2042508911"/>
        <c:axId val="1"/>
        <c:axId val="0"/>
      </c:bar3DChart>
      <c:dateAx>
        <c:axId val="204250891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2042508911"/>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Державний та гарантований державою борг України за останні 5 років
(млрд. дол. США)</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YTM_ALL!$B$12:$G$12</c:f>
              <c:numCache>
                <c:formatCode>#\ ##0.00;\-#\ ##0.00;</c:formatCode>
                <c:ptCount val="6"/>
                <c:pt idx="0">
                  <c:v>90.253504035259994</c:v>
                </c:pt>
                <c:pt idx="1">
                  <c:v>97.955877598960001</c:v>
                </c:pt>
                <c:pt idx="2">
                  <c:v>111.44992803011999</c:v>
                </c:pt>
                <c:pt idx="3">
                  <c:v>145.32087120896</c:v>
                </c:pt>
                <c:pt idx="4">
                  <c:v>166.05925130833998</c:v>
                </c:pt>
                <c:pt idx="5">
                  <c:v>169.08837600780001</c:v>
                </c:pt>
              </c:numCache>
            </c:numRef>
          </c:val>
          <c:extLst>
            <c:ext xmlns:c16="http://schemas.microsoft.com/office/drawing/2014/chart" uri="{C3380CC4-5D6E-409C-BE32-E72D297353CC}">
              <c16:uniqueId val="{00000000-6E1D-40C6-BE14-2199D2E720C9}"/>
            </c:ext>
          </c:extLst>
        </c:ser>
        <c:ser>
          <c:idx val="1"/>
          <c:order val="1"/>
          <c:tx>
            <c:strRef>
              <c:f>YTM_ALL!$A$13</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46.076083150560002</c:v>
                </c:pt>
              </c:numCache>
            </c:numRef>
          </c:val>
          <c:extLst>
            <c:ext xmlns:c16="http://schemas.microsoft.com/office/drawing/2014/chart" uri="{C3380CC4-5D6E-409C-BE32-E72D297353CC}">
              <c16:uniqueId val="{00000001-6E1D-40C6-BE14-2199D2E720C9}"/>
            </c:ext>
          </c:extLst>
        </c:ser>
        <c:ser>
          <c:idx val="0"/>
          <c:order val="2"/>
          <c:tx>
            <c:strRef>
              <c:f>YTM_ALL!$A$14</c:f>
              <c:strCache>
                <c:ptCount val="1"/>
                <c:pt idx="0">
                  <c:v>Зовнішній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YTM_ALL!$B$14:$G$14</c:f>
              <c:numCache>
                <c:formatCode>#,##0.00</c:formatCode>
                <c:ptCount val="6"/>
                <c:pt idx="0">
                  <c:v>53.720812597209999</c:v>
                </c:pt>
                <c:pt idx="1">
                  <c:v>57.205466601799998</c:v>
                </c:pt>
                <c:pt idx="2">
                  <c:v>71.473331067700002</c:v>
                </c:pt>
                <c:pt idx="3">
                  <c:v>101.70866387616</c:v>
                </c:pt>
                <c:pt idx="4">
                  <c:v>120.09028008225999</c:v>
                </c:pt>
                <c:pt idx="5">
                  <c:v>123.01229285724</c:v>
                </c:pt>
              </c:numCache>
            </c:numRef>
          </c:val>
          <c:extLst>
            <c:ext xmlns:c16="http://schemas.microsoft.com/office/drawing/2014/chart" uri="{C3380CC4-5D6E-409C-BE32-E72D297353CC}">
              <c16:uniqueId val="{00000002-6E1D-40C6-BE14-2199D2E720C9}"/>
            </c:ext>
          </c:extLst>
        </c:ser>
        <c:dLbls>
          <c:showLegendKey val="0"/>
          <c:showVal val="0"/>
          <c:showCatName val="0"/>
          <c:showSerName val="0"/>
          <c:showPercent val="0"/>
          <c:showBubbleSize val="0"/>
        </c:dLbls>
        <c:gapWidth val="150"/>
        <c:shape val="box"/>
        <c:axId val="2042509327"/>
        <c:axId val="1"/>
        <c:axId val="0"/>
      </c:bar3DChart>
      <c:dateAx>
        <c:axId val="204250932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2042509327"/>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Державний борг</c:v>
                </c:pt>
              </c:strCache>
            </c:strRef>
          </c:tx>
          <c:spPr>
            <a:solidFill>
              <a:srgbClr val="993366"/>
            </a:solidFill>
            <a:ln w="12700">
              <a:solidFill>
                <a:srgbClr val="000000"/>
              </a:solidFill>
              <a:prstDash val="solid"/>
            </a:ln>
          </c:spPr>
          <c:invertIfNegative val="0"/>
          <c:cat>
            <c:numRef>
              <c:f>MK_ALL!$B$11:$D$11</c:f>
              <c:numCache>
                <c:formatCode>dd\.mm\.yyyy;@</c:formatCode>
                <c:ptCount val="3"/>
                <c:pt idx="0">
                  <c:v>45657</c:v>
                </c:pt>
                <c:pt idx="1">
                  <c:v>45688</c:v>
                </c:pt>
                <c:pt idx="2">
                  <c:v>45716</c:v>
                </c:pt>
              </c:numCache>
            </c:numRef>
          </c:cat>
          <c:val>
            <c:numRef>
              <c:f>MK_ALL!$B$13:$D$13</c:f>
              <c:numCache>
                <c:formatCode>#,##0.00</c:formatCode>
                <c:ptCount val="3"/>
                <c:pt idx="0">
                  <c:v>159.19631191120999</c:v>
                </c:pt>
                <c:pt idx="1">
                  <c:v>162.08074951225001</c:v>
                </c:pt>
                <c:pt idx="2">
                  <c:v>162.35879084801999</c:v>
                </c:pt>
              </c:numCache>
            </c:numRef>
          </c:val>
          <c:extLst>
            <c:ext xmlns:c16="http://schemas.microsoft.com/office/drawing/2014/chart" uri="{C3380CC4-5D6E-409C-BE32-E72D297353CC}">
              <c16:uniqueId val="{00000000-177E-4CB0-BA44-A5094ED3DBDA}"/>
            </c:ext>
          </c:extLst>
        </c:ser>
        <c:ser>
          <c:idx val="2"/>
          <c:order val="1"/>
          <c:tx>
            <c:strRef>
              <c:f>MK_ALL!$A$14</c:f>
              <c:strCache>
                <c:ptCount val="1"/>
                <c:pt idx="0">
                  <c:v>Гарантований державою борг</c:v>
                </c:pt>
              </c:strCache>
            </c:strRef>
          </c:tx>
          <c:invertIfNegative val="0"/>
          <c:cat>
            <c:numRef>
              <c:f>MK_ALL!$B$11:$D$11</c:f>
              <c:numCache>
                <c:formatCode>dd\.mm\.yyyy;@</c:formatCode>
                <c:ptCount val="3"/>
                <c:pt idx="0">
                  <c:v>45657</c:v>
                </c:pt>
                <c:pt idx="1">
                  <c:v>45688</c:v>
                </c:pt>
                <c:pt idx="2">
                  <c:v>45716</c:v>
                </c:pt>
              </c:numCache>
            </c:numRef>
          </c:cat>
          <c:val>
            <c:numRef>
              <c:f>MK_ALL!$B$14:$D$14</c:f>
              <c:numCache>
                <c:formatCode>#,##0.00</c:formatCode>
                <c:ptCount val="3"/>
                <c:pt idx="0">
                  <c:v>6.8629393971299999</c:v>
                </c:pt>
                <c:pt idx="1">
                  <c:v>6.9126422944700003</c:v>
                </c:pt>
                <c:pt idx="2">
                  <c:v>6.72958515978</c:v>
                </c:pt>
              </c:numCache>
            </c:numRef>
          </c:val>
          <c:extLst>
            <c:ext xmlns:c16="http://schemas.microsoft.com/office/drawing/2014/chart" uri="{C3380CC4-5D6E-409C-BE32-E72D297353CC}">
              <c16:uniqueId val="{00000001-177E-4CB0-BA44-A5094ED3DBDA}"/>
            </c:ext>
          </c:extLst>
        </c:ser>
        <c:dLbls>
          <c:showLegendKey val="0"/>
          <c:showVal val="0"/>
          <c:showCatName val="0"/>
          <c:showSerName val="0"/>
          <c:showPercent val="0"/>
          <c:showBubbleSize val="0"/>
        </c:dLbls>
        <c:gapWidth val="150"/>
        <c:shape val="box"/>
        <c:axId val="2041423119"/>
        <c:axId val="1"/>
        <c:axId val="0"/>
      </c:bar3DChart>
      <c:dateAx>
        <c:axId val="2041423119"/>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2041423119"/>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YKM_ALL!$B$6:$G$6</c:f>
              <c:numCache>
                <c:formatCode>#\ ##0.00;\-#\ ##0.00;</c:formatCode>
                <c:ptCount val="6"/>
                <c:pt idx="0">
                  <c:v>2551.8817252042099</c:v>
                </c:pt>
                <c:pt idx="1">
                  <c:v>2672.0600203157701</c:v>
                </c:pt>
                <c:pt idx="2">
                  <c:v>4075.5678381492698</c:v>
                </c:pt>
                <c:pt idx="3">
                  <c:v>5519.6354586101497</c:v>
                </c:pt>
                <c:pt idx="4">
                  <c:v>6980.96486574559</c:v>
                </c:pt>
                <c:pt idx="5">
                  <c:v>7019.5348415889603</c:v>
                </c:pt>
              </c:numCache>
            </c:numRef>
          </c:val>
          <c:extLst>
            <c:ext xmlns:c16="http://schemas.microsoft.com/office/drawing/2014/chart" uri="{C3380CC4-5D6E-409C-BE32-E72D297353CC}">
              <c16:uniqueId val="{00000000-69EE-49F2-8018-F25CD6079435}"/>
            </c:ext>
          </c:extLst>
        </c:ser>
        <c:ser>
          <c:idx val="1"/>
          <c:order val="1"/>
          <c:tx>
            <c:strRef>
              <c:f>YKM_ALL!$A$7</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YKM_ALL!$B$7:$G$7</c:f>
              <c:numCache>
                <c:formatCode>#,##0.00</c:formatCode>
                <c:ptCount val="6"/>
                <c:pt idx="0">
                  <c:v>2259.2315015926201</c:v>
                </c:pt>
                <c:pt idx="1">
                  <c:v>2362.7201507571899</c:v>
                </c:pt>
                <c:pt idx="2">
                  <c:v>3715.1336317660898</c:v>
                </c:pt>
                <c:pt idx="3">
                  <c:v>5188.0907415274296</c:v>
                </c:pt>
                <c:pt idx="4">
                  <c:v>6692.4537564279799</c:v>
                </c:pt>
                <c:pt idx="5">
                  <c:v>6740.16284326606</c:v>
                </c:pt>
              </c:numCache>
            </c:numRef>
          </c:val>
          <c:extLst>
            <c:ext xmlns:c16="http://schemas.microsoft.com/office/drawing/2014/chart" uri="{C3380CC4-5D6E-409C-BE32-E72D297353CC}">
              <c16:uniqueId val="{00000001-69EE-49F2-8018-F25CD6079435}"/>
            </c:ext>
          </c:extLst>
        </c:ser>
        <c:ser>
          <c:idx val="0"/>
          <c:order val="2"/>
          <c:tx>
            <c:strRef>
              <c:f>YKM_ALL!$A$8</c:f>
              <c:strCache>
                <c:ptCount val="1"/>
                <c:pt idx="0">
                  <c:v>Гарантований державою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279.37199832290003</c:v>
                </c:pt>
              </c:numCache>
            </c:numRef>
          </c:val>
          <c:extLst>
            <c:ext xmlns:c16="http://schemas.microsoft.com/office/drawing/2014/chart" uri="{C3380CC4-5D6E-409C-BE32-E72D297353CC}">
              <c16:uniqueId val="{00000002-69EE-49F2-8018-F25CD6079435}"/>
            </c:ext>
          </c:extLst>
        </c:ser>
        <c:dLbls>
          <c:showLegendKey val="0"/>
          <c:showVal val="0"/>
          <c:showCatName val="0"/>
          <c:showSerName val="0"/>
          <c:showPercent val="0"/>
          <c:showBubbleSize val="0"/>
        </c:dLbls>
        <c:gapWidth val="150"/>
        <c:shape val="box"/>
        <c:axId val="2041420623"/>
        <c:axId val="1"/>
        <c:axId val="0"/>
      </c:bar3DChart>
      <c:dateAx>
        <c:axId val="2041420623"/>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2041420623"/>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YKM_ALL!$B$12:$G$12</c:f>
              <c:numCache>
                <c:formatCode>#\ ##0.00;\-#\ ##0.00;</c:formatCode>
                <c:ptCount val="6"/>
                <c:pt idx="0">
                  <c:v>90.253504035260008</c:v>
                </c:pt>
                <c:pt idx="1">
                  <c:v>97.955877598960001</c:v>
                </c:pt>
                <c:pt idx="2">
                  <c:v>111.44992803012001</c:v>
                </c:pt>
                <c:pt idx="3">
                  <c:v>145.32087120896</c:v>
                </c:pt>
                <c:pt idx="4">
                  <c:v>166.05925130833998</c:v>
                </c:pt>
                <c:pt idx="5">
                  <c:v>169.08837600779998</c:v>
                </c:pt>
              </c:numCache>
            </c:numRef>
          </c:val>
          <c:extLst>
            <c:ext xmlns:c16="http://schemas.microsoft.com/office/drawing/2014/chart" uri="{C3380CC4-5D6E-409C-BE32-E72D297353CC}">
              <c16:uniqueId val="{00000000-E85B-4FFA-A9B1-74C3F7E76939}"/>
            </c:ext>
          </c:extLst>
        </c:ser>
        <c:ser>
          <c:idx val="1"/>
          <c:order val="1"/>
          <c:tx>
            <c:strRef>
              <c:f>YKM_ALL!$A$13</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YKM_ALL!$B$13:$G$13</c:f>
              <c:numCache>
                <c:formatCode>#,##0.00</c:formatCode>
                <c:ptCount val="6"/>
                <c:pt idx="0">
                  <c:v>79.903217077660003</c:v>
                </c:pt>
                <c:pt idx="1">
                  <c:v>86.615691312519999</c:v>
                </c:pt>
                <c:pt idx="2">
                  <c:v>101.59354286955001</c:v>
                </c:pt>
                <c:pt idx="3">
                  <c:v>136.59196737241001</c:v>
                </c:pt>
                <c:pt idx="4">
                  <c:v>159.19631191120999</c:v>
                </c:pt>
                <c:pt idx="5">
                  <c:v>162.35879084801999</c:v>
                </c:pt>
              </c:numCache>
            </c:numRef>
          </c:val>
          <c:extLst>
            <c:ext xmlns:c16="http://schemas.microsoft.com/office/drawing/2014/chart" uri="{C3380CC4-5D6E-409C-BE32-E72D297353CC}">
              <c16:uniqueId val="{00000001-E85B-4FFA-A9B1-74C3F7E76939}"/>
            </c:ext>
          </c:extLst>
        </c:ser>
        <c:ser>
          <c:idx val="0"/>
          <c:order val="2"/>
          <c:tx>
            <c:strRef>
              <c:f>YKM_ALL!$A$14</c:f>
              <c:strCache>
                <c:ptCount val="1"/>
                <c:pt idx="0">
                  <c:v>Гарантований державою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6.72958515978</c:v>
                </c:pt>
              </c:numCache>
            </c:numRef>
          </c:val>
          <c:extLst>
            <c:ext xmlns:c16="http://schemas.microsoft.com/office/drawing/2014/chart" uri="{C3380CC4-5D6E-409C-BE32-E72D297353CC}">
              <c16:uniqueId val="{00000002-E85B-4FFA-A9B1-74C3F7E76939}"/>
            </c:ext>
          </c:extLst>
        </c:ser>
        <c:dLbls>
          <c:showLegendKey val="0"/>
          <c:showVal val="0"/>
          <c:showCatName val="0"/>
          <c:showSerName val="0"/>
          <c:showPercent val="0"/>
          <c:showBubbleSize val="0"/>
        </c:dLbls>
        <c:gapWidth val="150"/>
        <c:shape val="box"/>
        <c:axId val="2041424783"/>
        <c:axId val="1"/>
        <c:axId val="0"/>
      </c:bar3DChart>
      <c:dateAx>
        <c:axId val="2041424783"/>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2041424783"/>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30D-4E62-87A1-A7FFB52E3A51}"/>
              </c:ext>
            </c:extLst>
          </c:dPt>
          <c:dPt>
            <c:idx val="1"/>
            <c:bubble3D val="0"/>
            <c:extLst>
              <c:ext xmlns:c16="http://schemas.microsoft.com/office/drawing/2014/chart" uri="{C3380CC4-5D6E-409C-BE32-E72D297353CC}">
                <c16:uniqueId val="{00000001-930D-4E62-87A1-A7FFB52E3A51}"/>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30D-4E62-87A1-A7FFB52E3A51}"/>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30D-4E62-87A1-A7FFB52E3A51}"/>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0D-4E62-87A1-A7FFB52E3A51}"/>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30D-4E62-87A1-A7FFB52E3A51}"/>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30D-4E62-87A1-A7FFB52E3A51}"/>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30D-4E62-87A1-A7FFB52E3A51}"/>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Державний борг</c:v>
                </c:pt>
                <c:pt idx="1">
                  <c:v>Гарантований державою борг</c:v>
                </c:pt>
              </c:strCache>
            </c:strRef>
          </c:cat>
          <c:val>
            <c:numRef>
              <c:f>KIND_CMP!$F$8:$F$9</c:f>
              <c:numCache>
                <c:formatCode>#,##0.00</c:formatCode>
                <c:ptCount val="2"/>
                <c:pt idx="0">
                  <c:v>6740.16284326606</c:v>
                </c:pt>
                <c:pt idx="1">
                  <c:v>279.37199832290003</c:v>
                </c:pt>
              </c:numCache>
            </c:numRef>
          </c:val>
          <c:extLst>
            <c:ext xmlns:c16="http://schemas.microsoft.com/office/drawing/2014/chart" uri="{C3380CC4-5D6E-409C-BE32-E72D297353CC}">
              <c16:uniqueId val="{00000007-930D-4E62-87A1-A7FFB52E3A5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Структура державного та гарантованого державою боргу
в розрізі термінів погашення</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4F8-45C3-B71A-21655A55A6A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4F8-45C3-B71A-21655A55A6A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4F8-45C3-B71A-21655A55A6AF}"/>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2025.02.28-2025.12.31</c:v>
                </c:pt>
                <c:pt idx="1">
                  <c:v>2026-2030</c:v>
                </c:pt>
                <c:pt idx="2">
                  <c:v>2030-06.05.2070</c:v>
                </c:pt>
              </c:strCache>
            </c:strRef>
          </c:cat>
          <c:val>
            <c:numRef>
              <c:f>DTR!$B$7:$B$9</c:f>
              <c:numCache>
                <c:formatCode>#,##0.00</c:formatCode>
                <c:ptCount val="3"/>
                <c:pt idx="0">
                  <c:v>11.00550804968</c:v>
                </c:pt>
                <c:pt idx="1">
                  <c:v>28.90472084776</c:v>
                </c:pt>
                <c:pt idx="2">
                  <c:v>129.17814711035999</c:v>
                </c:pt>
              </c:numCache>
            </c:numRef>
          </c:val>
          <c:extLst>
            <c:ext xmlns:c16="http://schemas.microsoft.com/office/drawing/2014/chart" uri="{C3380CC4-5D6E-409C-BE32-E72D297353CC}">
              <c16:uniqueId val="{00000003-34F8-45C3-B71A-21655A55A6A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364-464F-9113-D0767F3D5B81}"/>
              </c:ext>
            </c:extLst>
          </c:dPt>
          <c:dPt>
            <c:idx val="1"/>
            <c:bubble3D val="0"/>
            <c:extLst>
              <c:ext xmlns:c16="http://schemas.microsoft.com/office/drawing/2014/chart" uri="{C3380CC4-5D6E-409C-BE32-E72D297353CC}">
                <c16:uniqueId val="{00000001-3364-464F-9113-D0767F3D5B81}"/>
              </c:ext>
            </c:extLst>
          </c:dPt>
          <c:dPt>
            <c:idx val="2"/>
            <c:bubble3D val="0"/>
            <c:extLst>
              <c:ext xmlns:c16="http://schemas.microsoft.com/office/drawing/2014/chart" uri="{C3380CC4-5D6E-409C-BE32-E72D297353CC}">
                <c16:uniqueId val="{00000002-3364-464F-9113-D0767F3D5B81}"/>
              </c:ext>
            </c:extLst>
          </c:dPt>
          <c:dPt>
            <c:idx val="3"/>
            <c:bubble3D val="0"/>
            <c:extLst>
              <c:ext xmlns:c16="http://schemas.microsoft.com/office/drawing/2014/chart" uri="{C3380CC4-5D6E-409C-BE32-E72D297353CC}">
                <c16:uniqueId val="{00000003-3364-464F-9113-D0767F3D5B81}"/>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(DEBT_TERM!$I$11,DEBT_TERM!$I$47,DEBT_TERM!$I$50,DEBT_TERM!$I$52)</c:f>
              <c:strCache>
                <c:ptCount val="4"/>
                <c:pt idx="0">
                  <c:v>      Державний внутрішній борг; 13,031%; 6,54р.</c:v>
                </c:pt>
                <c:pt idx="1">
                  <c:v>      Державний зовнішній борг; 1,701%; 17,11р.</c:v>
                </c:pt>
                <c:pt idx="2">
                  <c:v>      Гарантований внутрішній борг; 7,688%; 5,09р.</c:v>
                </c:pt>
                <c:pt idx="3">
                  <c:v>      Гарантований зовнішній борг; 4,903%; 13,1р.</c:v>
                </c:pt>
              </c:strCache>
            </c:strRef>
          </c:cat>
          <c:val>
            <c:numRef>
              <c:f>(DEBT_TERM!$J$11,DEBT_TERM!$J$47,DEBT_TERM!$J$50,DEBT_TERM!$J$52)</c:f>
              <c:numCache>
                <c:formatCode>#,##0.00</c:formatCode>
                <c:ptCount val="4"/>
                <c:pt idx="0">
                  <c:v>1840063331.3599999</c:v>
                </c:pt>
                <c:pt idx="1">
                  <c:v>4757821992.2299995</c:v>
                </c:pt>
                <c:pt idx="2">
                  <c:v>73692753.780000001</c:v>
                </c:pt>
                <c:pt idx="3">
                  <c:v>206963575.25999999</c:v>
                </c:pt>
              </c:numCache>
            </c:numRef>
          </c:val>
          <c:extLst>
            <c:ext xmlns:c16="http://schemas.microsoft.com/office/drawing/2014/chart" uri="{C3380CC4-5D6E-409C-BE32-E72D297353CC}">
              <c16:uniqueId val="{00000004-3364-464F-9113-D0767F3D5B8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BAA7-4631-9299-43F9AC2327DC}"/>
              </c:ext>
            </c:extLst>
          </c:dPt>
          <c:dPt>
            <c:idx val="1"/>
            <c:bubble3D val="0"/>
            <c:extLst>
              <c:ext xmlns:c16="http://schemas.microsoft.com/office/drawing/2014/chart" uri="{C3380CC4-5D6E-409C-BE32-E72D297353CC}">
                <c16:uniqueId val="{00000001-BAA7-4631-9299-43F9AC2327DC}"/>
              </c:ext>
            </c:extLst>
          </c:dPt>
          <c:dPt>
            <c:idx val="2"/>
            <c:bubble3D val="0"/>
            <c:extLst>
              <c:ext xmlns:c16="http://schemas.microsoft.com/office/drawing/2014/chart" uri="{C3380CC4-5D6E-409C-BE32-E72D297353CC}">
                <c16:uniqueId val="{00000002-BAA7-4631-9299-43F9AC2327DC}"/>
              </c:ext>
            </c:extLst>
          </c:dPt>
          <c:dPt>
            <c:idx val="3"/>
            <c:bubble3D val="0"/>
            <c:extLst>
              <c:ext xmlns:c16="http://schemas.microsoft.com/office/drawing/2014/chart" uri="{C3380CC4-5D6E-409C-BE32-E72D297353CC}">
                <c16:uniqueId val="{00000003-BAA7-4631-9299-43F9AC2327DC}"/>
              </c:ext>
            </c:extLst>
          </c:dPt>
          <c:dPt>
            <c:idx val="4"/>
            <c:bubble3D val="0"/>
            <c:extLst>
              <c:ext xmlns:c16="http://schemas.microsoft.com/office/drawing/2014/chart" uri="{C3380CC4-5D6E-409C-BE32-E72D297353CC}">
                <c16:uniqueId val="{00000004-BAA7-4631-9299-43F9AC2327DC}"/>
              </c:ext>
            </c:extLst>
          </c:dPt>
          <c:dPt>
            <c:idx val="5"/>
            <c:bubble3D val="0"/>
            <c:extLst>
              <c:ext xmlns:c16="http://schemas.microsoft.com/office/drawing/2014/chart" uri="{C3380CC4-5D6E-409C-BE32-E72D297353CC}">
                <c16:uniqueId val="{00000005-BAA7-4631-9299-43F9AC2327DC}"/>
              </c:ext>
            </c:extLst>
          </c:dPt>
          <c:dPt>
            <c:idx val="6"/>
            <c:bubble3D val="0"/>
            <c:extLst>
              <c:ext xmlns:c16="http://schemas.microsoft.com/office/drawing/2014/chart" uri="{C3380CC4-5D6E-409C-BE32-E72D297353CC}">
                <c16:uniqueId val="{00000006-BAA7-4631-9299-43F9AC2327DC}"/>
              </c:ext>
            </c:extLst>
          </c:dPt>
          <c:dPt>
            <c:idx val="7"/>
            <c:bubble3D val="0"/>
            <c:extLst>
              <c:ext xmlns:c16="http://schemas.microsoft.com/office/drawing/2014/chart" uri="{C3380CC4-5D6E-409C-BE32-E72D297353CC}">
                <c16:uniqueId val="{00000007-BAA7-4631-9299-43F9AC2327DC}"/>
              </c:ext>
            </c:extLst>
          </c:dPt>
          <c:dPt>
            <c:idx val="8"/>
            <c:bubble3D val="0"/>
            <c:extLst>
              <c:ext xmlns:c16="http://schemas.microsoft.com/office/drawing/2014/chart" uri="{C3380CC4-5D6E-409C-BE32-E72D297353CC}">
                <c16:uniqueId val="{00000008-BAA7-4631-9299-43F9AC2327DC}"/>
              </c:ext>
            </c:extLst>
          </c:dPt>
          <c:dPt>
            <c:idx val="9"/>
            <c:bubble3D val="0"/>
            <c:extLst>
              <c:ext xmlns:c16="http://schemas.microsoft.com/office/drawing/2014/chart" uri="{C3380CC4-5D6E-409C-BE32-E72D297353CC}">
                <c16:uniqueId val="{00000009-BAA7-4631-9299-43F9AC2327DC}"/>
              </c:ext>
            </c:extLst>
          </c:dPt>
          <c:dPt>
            <c:idx val="10"/>
            <c:bubble3D val="0"/>
            <c:extLst>
              <c:ext xmlns:c16="http://schemas.microsoft.com/office/drawing/2014/chart" uri="{C3380CC4-5D6E-409C-BE32-E72D297353CC}">
                <c16:uniqueId val="{0000000A-BAA7-4631-9299-43F9AC2327DC}"/>
              </c:ext>
            </c:extLst>
          </c:dPt>
          <c:dPt>
            <c:idx val="11"/>
            <c:bubble3D val="0"/>
            <c:extLst>
              <c:ext xmlns:c16="http://schemas.microsoft.com/office/drawing/2014/chart" uri="{C3380CC4-5D6E-409C-BE32-E72D297353CC}">
                <c16:uniqueId val="{0000000B-BAA7-4631-9299-43F9AC2327DC}"/>
              </c:ext>
            </c:extLst>
          </c:dPt>
          <c:dPt>
            <c:idx val="12"/>
            <c:bubble3D val="0"/>
            <c:extLst>
              <c:ext xmlns:c16="http://schemas.microsoft.com/office/drawing/2014/chart" uri="{C3380CC4-5D6E-409C-BE32-E72D297353CC}">
                <c16:uniqueId val="{0000000C-BAA7-4631-9299-43F9AC2327DC}"/>
              </c:ext>
            </c:extLst>
          </c:dPt>
          <c:dPt>
            <c:idx val="13"/>
            <c:bubble3D val="0"/>
            <c:extLst>
              <c:ext xmlns:c16="http://schemas.microsoft.com/office/drawing/2014/chart" uri="{C3380CC4-5D6E-409C-BE32-E72D297353CC}">
                <c16:uniqueId val="{0000000D-BAA7-4631-9299-43F9AC2327DC}"/>
              </c:ext>
            </c:extLst>
          </c:dPt>
          <c:dPt>
            <c:idx val="14"/>
            <c:bubble3D val="0"/>
            <c:extLst>
              <c:ext xmlns:c16="http://schemas.microsoft.com/office/drawing/2014/chart" uri="{C3380CC4-5D6E-409C-BE32-E72D297353CC}">
                <c16:uniqueId val="{0000000E-BAA7-4631-9299-43F9AC2327DC}"/>
              </c:ext>
            </c:extLst>
          </c:dPt>
          <c:dPt>
            <c:idx val="15"/>
            <c:bubble3D val="0"/>
            <c:extLst>
              <c:ext xmlns:c16="http://schemas.microsoft.com/office/drawing/2014/chart" uri="{C3380CC4-5D6E-409C-BE32-E72D297353CC}">
                <c16:uniqueId val="{0000000F-BAA7-4631-9299-43F9AC2327DC}"/>
              </c:ext>
            </c:extLst>
          </c:dPt>
          <c:dPt>
            <c:idx val="16"/>
            <c:bubble3D val="0"/>
            <c:extLst>
              <c:ext xmlns:c16="http://schemas.microsoft.com/office/drawing/2014/chart" uri="{C3380CC4-5D6E-409C-BE32-E72D297353CC}">
                <c16:uniqueId val="{00000010-BAA7-4631-9299-43F9AC2327DC}"/>
              </c:ext>
            </c:extLst>
          </c:dPt>
          <c:dPt>
            <c:idx val="17"/>
            <c:bubble3D val="0"/>
            <c:extLst>
              <c:ext xmlns:c16="http://schemas.microsoft.com/office/drawing/2014/chart" uri="{C3380CC4-5D6E-409C-BE32-E72D297353CC}">
                <c16:uniqueId val="{00000011-BAA7-4631-9299-43F9AC2327DC}"/>
              </c:ext>
            </c:extLst>
          </c:dPt>
          <c:dPt>
            <c:idx val="18"/>
            <c:bubble3D val="0"/>
            <c:extLst>
              <c:ext xmlns:c16="http://schemas.microsoft.com/office/drawing/2014/chart" uri="{C3380CC4-5D6E-409C-BE32-E72D297353CC}">
                <c16:uniqueId val="{00000012-BAA7-4631-9299-43F9AC2327DC}"/>
              </c:ext>
            </c:extLst>
          </c:dPt>
          <c:dPt>
            <c:idx val="19"/>
            <c:bubble3D val="0"/>
            <c:extLst>
              <c:ext xmlns:c16="http://schemas.microsoft.com/office/drawing/2014/chart" uri="{C3380CC4-5D6E-409C-BE32-E72D297353CC}">
                <c16:uniqueId val="{00000013-BAA7-4631-9299-43F9AC2327DC}"/>
              </c:ext>
            </c:extLst>
          </c:dPt>
          <c:dPt>
            <c:idx val="20"/>
            <c:bubble3D val="0"/>
            <c:extLst>
              <c:ext xmlns:c16="http://schemas.microsoft.com/office/drawing/2014/chart" uri="{C3380CC4-5D6E-409C-BE32-E72D297353CC}">
                <c16:uniqueId val="{00000014-BAA7-4631-9299-43F9AC2327DC}"/>
              </c:ext>
            </c:extLst>
          </c:dPt>
          <c:dPt>
            <c:idx val="21"/>
            <c:bubble3D val="0"/>
            <c:extLst>
              <c:ext xmlns:c16="http://schemas.microsoft.com/office/drawing/2014/chart" uri="{C3380CC4-5D6E-409C-BE32-E72D297353CC}">
                <c16:uniqueId val="{00000015-BAA7-4631-9299-43F9AC2327DC}"/>
              </c:ext>
            </c:extLst>
          </c:dPt>
          <c:dPt>
            <c:idx val="22"/>
            <c:bubble3D val="0"/>
            <c:extLst>
              <c:ext xmlns:c16="http://schemas.microsoft.com/office/drawing/2014/chart" uri="{C3380CC4-5D6E-409C-BE32-E72D297353CC}">
                <c16:uniqueId val="{00000016-BAA7-4631-9299-43F9AC2327DC}"/>
              </c:ext>
            </c:extLst>
          </c:dPt>
          <c:dPt>
            <c:idx val="23"/>
            <c:bubble3D val="0"/>
            <c:extLst>
              <c:ext xmlns:c16="http://schemas.microsoft.com/office/drawing/2014/chart" uri="{C3380CC4-5D6E-409C-BE32-E72D297353CC}">
                <c16:uniqueId val="{00000017-BAA7-4631-9299-43F9AC2327DC}"/>
              </c:ext>
            </c:extLst>
          </c:dPt>
          <c:dPt>
            <c:idx val="24"/>
            <c:bubble3D val="0"/>
            <c:extLst>
              <c:ext xmlns:c16="http://schemas.microsoft.com/office/drawing/2014/chart" uri="{C3380CC4-5D6E-409C-BE32-E72D297353CC}">
                <c16:uniqueId val="{00000018-BAA7-4631-9299-43F9AC2327DC}"/>
              </c:ext>
            </c:extLst>
          </c:dPt>
          <c:dPt>
            <c:idx val="25"/>
            <c:bubble3D val="0"/>
            <c:extLst>
              <c:ext xmlns:c16="http://schemas.microsoft.com/office/drawing/2014/chart" uri="{C3380CC4-5D6E-409C-BE32-E72D297353CC}">
                <c16:uniqueId val="{00000019-BAA7-4631-9299-43F9AC2327DC}"/>
              </c:ext>
            </c:extLst>
          </c:dPt>
          <c:dPt>
            <c:idx val="26"/>
            <c:bubble3D val="0"/>
            <c:extLst>
              <c:ext xmlns:c16="http://schemas.microsoft.com/office/drawing/2014/chart" uri="{C3380CC4-5D6E-409C-BE32-E72D297353CC}">
                <c16:uniqueId val="{0000001A-BAA7-4631-9299-43F9AC2327DC}"/>
              </c:ext>
            </c:extLst>
          </c:dPt>
          <c:dPt>
            <c:idx val="27"/>
            <c:bubble3D val="0"/>
            <c:extLst>
              <c:ext xmlns:c16="http://schemas.microsoft.com/office/drawing/2014/chart" uri="{C3380CC4-5D6E-409C-BE32-E72D297353CC}">
                <c16:uniqueId val="{0000001B-BAA7-4631-9299-43F9AC2327DC}"/>
              </c:ext>
            </c:extLst>
          </c:dPt>
          <c:dPt>
            <c:idx val="28"/>
            <c:bubble3D val="0"/>
            <c:extLst>
              <c:ext xmlns:c16="http://schemas.microsoft.com/office/drawing/2014/chart" uri="{C3380CC4-5D6E-409C-BE32-E72D297353CC}">
                <c16:uniqueId val="{0000001C-BAA7-4631-9299-43F9AC2327DC}"/>
              </c:ext>
            </c:extLst>
          </c:dPt>
          <c:dPt>
            <c:idx val="29"/>
            <c:bubble3D val="0"/>
            <c:extLst>
              <c:ext xmlns:c16="http://schemas.microsoft.com/office/drawing/2014/chart" uri="{C3380CC4-5D6E-409C-BE32-E72D297353CC}">
                <c16:uniqueId val="{0000001D-BAA7-4631-9299-43F9AC2327DC}"/>
              </c:ext>
            </c:extLst>
          </c:dPt>
          <c:dPt>
            <c:idx val="30"/>
            <c:bubble3D val="0"/>
            <c:extLst>
              <c:ext xmlns:c16="http://schemas.microsoft.com/office/drawing/2014/chart" uri="{C3380CC4-5D6E-409C-BE32-E72D297353CC}">
                <c16:uniqueId val="{0000001E-BAA7-4631-9299-43F9AC2327DC}"/>
              </c:ext>
            </c:extLst>
          </c:dPt>
          <c:dPt>
            <c:idx val="31"/>
            <c:bubble3D val="0"/>
            <c:extLst>
              <c:ext xmlns:c16="http://schemas.microsoft.com/office/drawing/2014/chart" uri="{C3380CC4-5D6E-409C-BE32-E72D297353CC}">
                <c16:uniqueId val="{0000001F-BAA7-4631-9299-43F9AC2327DC}"/>
              </c:ext>
            </c:extLst>
          </c:dPt>
          <c:dPt>
            <c:idx val="32"/>
            <c:bubble3D val="0"/>
            <c:extLst>
              <c:ext xmlns:c16="http://schemas.microsoft.com/office/drawing/2014/chart" uri="{C3380CC4-5D6E-409C-BE32-E72D297353CC}">
                <c16:uniqueId val="{00000020-BAA7-4631-9299-43F9AC2327DC}"/>
              </c:ext>
            </c:extLst>
          </c:dPt>
          <c:dPt>
            <c:idx val="33"/>
            <c:bubble3D val="0"/>
            <c:extLst>
              <c:ext xmlns:c16="http://schemas.microsoft.com/office/drawing/2014/chart" uri="{C3380CC4-5D6E-409C-BE32-E72D297353CC}">
                <c16:uniqueId val="{00000021-BAA7-4631-9299-43F9AC2327D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DEBT_TERM!$I$13:$I$46</c:f>
              <c:strCache>
                <c:ptCount val="34"/>
                <c:pt idx="0">
                  <c:v>            ОВДП (10 - річні); 9,188%; 7,38р.</c:v>
                </c:pt>
                <c:pt idx="1">
                  <c:v>            ОВДП (11 - річні); 11,252%; 11р.</c:v>
                </c:pt>
                <c:pt idx="2">
                  <c:v>            ОВДП (12 - місячні); 3,24%; 0,89р.</c:v>
                </c:pt>
                <c:pt idx="3">
                  <c:v>            ОВДП (12 - річні); 9,998%; 12,04р.</c:v>
                </c:pt>
                <c:pt idx="4">
                  <c:v>            ОВДП (13 - річні); 8,481%; 13,15р.</c:v>
                </c:pt>
                <c:pt idx="5">
                  <c:v>            ОВДП (14 - річні); 7,438%; 14,04р.</c:v>
                </c:pt>
                <c:pt idx="6">
                  <c:v>            ОВДП (15 - річні); 10,049%; 14,69р.</c:v>
                </c:pt>
                <c:pt idx="7">
                  <c:v>            ОВДП (16 - річні); 8,575%; 15,85р.</c:v>
                </c:pt>
                <c:pt idx="8">
                  <c:v>            ОВДП (17 - річні); 11,241%; 16,9р.</c:v>
                </c:pt>
                <c:pt idx="9">
                  <c:v>            ОВДП (18 - місячні); 9,75%; 1,15р.</c:v>
                </c:pt>
                <c:pt idx="10">
                  <c:v>            ОВДП (18 - річні); 8,17%; 17,85р.</c:v>
                </c:pt>
                <c:pt idx="11">
                  <c:v>            ОВДП (19 - річні); 10,8%; 18,85р.</c:v>
                </c:pt>
                <c:pt idx="12">
                  <c:v>            ОВДП (2 - річні); 17,565%; 1,78р.</c:v>
                </c:pt>
                <c:pt idx="13">
                  <c:v>            ОВДП (20 - річні); 10,8%; 19,85р.</c:v>
                </c:pt>
                <c:pt idx="14">
                  <c:v>            ОВДП (21 - річні); 10,8%; 20,85р.</c:v>
                </c:pt>
                <c:pt idx="15">
                  <c:v>            ОВДП (22 - річні); 10,8%; 21,85р.</c:v>
                </c:pt>
                <c:pt idx="16">
                  <c:v>            ОВДП (23 - річні); 10,8%; 22,85р.</c:v>
                </c:pt>
                <c:pt idx="17">
                  <c:v>            ОВДП (24 - річні); 10,8%; 23,85р.</c:v>
                </c:pt>
                <c:pt idx="18">
                  <c:v>            ОВДП (25 - річні); 10,8%; 24,85р.</c:v>
                </c:pt>
                <c:pt idx="19">
                  <c:v>            ОВДП (26 - річні); 10,8%; 25,85р.</c:v>
                </c:pt>
                <c:pt idx="20">
                  <c:v>            ОВДП (27 - річні); 10,8%; 26,85р.</c:v>
                </c:pt>
                <c:pt idx="21">
                  <c:v>            ОВДП (28 - річні); 10,8%; 27,85р.</c:v>
                </c:pt>
                <c:pt idx="22">
                  <c:v>            ОВДП (29 - річні); 10,8%; 28,85р.</c:v>
                </c:pt>
                <c:pt idx="23">
                  <c:v>            ОВДП (3 - місячні); 0%; 0р.</c:v>
                </c:pt>
                <c:pt idx="24">
                  <c:v>            ОВДП (3 - річні); 17,568%; 2,6р.</c:v>
                </c:pt>
                <c:pt idx="25">
                  <c:v>            ОВДП (30 - річні); 13,43%; 18,71р.</c:v>
                </c:pt>
                <c:pt idx="26">
                  <c:v>            ОВДП (4 - річні); 16,29%; 3,26р.</c:v>
                </c:pt>
                <c:pt idx="27">
                  <c:v>            ОВДП (5 - річні); 17,426%; 3,28р.</c:v>
                </c:pt>
                <c:pt idx="28">
                  <c:v>            ОВДП (6 - місячні); 0%; 0р.</c:v>
                </c:pt>
                <c:pt idx="29">
                  <c:v>            ОВДП (6 - річні); 0%; 0р.</c:v>
                </c:pt>
                <c:pt idx="30">
                  <c:v>            ОВДП (7 - річні); 10,002%; 5,3р.</c:v>
                </c:pt>
                <c:pt idx="31">
                  <c:v>            ОВДП (8 - річні); 11,29%; 8,17р.</c:v>
                </c:pt>
                <c:pt idx="32">
                  <c:v>            ОВДП (9 - місячні); 0%; 0р.</c:v>
                </c:pt>
                <c:pt idx="33">
                  <c:v>            ОВДП (9 - річні); 10,57%; 9,29р.</c:v>
                </c:pt>
              </c:strCache>
            </c:strRef>
          </c:cat>
          <c:val>
            <c:numRef>
              <c:f>DEBT_TERM!$J$13:$J$46</c:f>
              <c:numCache>
                <c:formatCode>#,##0.00</c:formatCode>
                <c:ptCount val="34"/>
                <c:pt idx="0">
                  <c:v>58630439</c:v>
                </c:pt>
                <c:pt idx="1">
                  <c:v>17533000</c:v>
                </c:pt>
                <c:pt idx="2">
                  <c:v>3787059.99</c:v>
                </c:pt>
                <c:pt idx="3">
                  <c:v>50000000</c:v>
                </c:pt>
                <c:pt idx="4">
                  <c:v>33700001</c:v>
                </c:pt>
                <c:pt idx="5">
                  <c:v>46900000</c:v>
                </c:pt>
                <c:pt idx="6">
                  <c:v>225503117</c:v>
                </c:pt>
                <c:pt idx="7">
                  <c:v>12097744</c:v>
                </c:pt>
                <c:pt idx="8">
                  <c:v>27097744</c:v>
                </c:pt>
                <c:pt idx="9">
                  <c:v>283670310.63</c:v>
                </c:pt>
                <c:pt idx="10">
                  <c:v>12097744</c:v>
                </c:pt>
                <c:pt idx="11">
                  <c:v>12097744</c:v>
                </c:pt>
                <c:pt idx="12">
                  <c:v>274774648</c:v>
                </c:pt>
                <c:pt idx="13">
                  <c:v>12097744</c:v>
                </c:pt>
                <c:pt idx="14">
                  <c:v>12097744</c:v>
                </c:pt>
                <c:pt idx="15">
                  <c:v>12097744</c:v>
                </c:pt>
                <c:pt idx="16">
                  <c:v>12097744</c:v>
                </c:pt>
                <c:pt idx="17">
                  <c:v>12097744</c:v>
                </c:pt>
                <c:pt idx="18">
                  <c:v>12097744</c:v>
                </c:pt>
                <c:pt idx="19">
                  <c:v>12097744</c:v>
                </c:pt>
                <c:pt idx="20">
                  <c:v>12097744</c:v>
                </c:pt>
                <c:pt idx="21">
                  <c:v>12097744</c:v>
                </c:pt>
                <c:pt idx="22">
                  <c:v>12097744</c:v>
                </c:pt>
                <c:pt idx="23">
                  <c:v>0</c:v>
                </c:pt>
                <c:pt idx="24">
                  <c:v>294601083</c:v>
                </c:pt>
                <c:pt idx="25">
                  <c:v>257097751</c:v>
                </c:pt>
                <c:pt idx="26">
                  <c:v>36191801</c:v>
                </c:pt>
                <c:pt idx="27">
                  <c:v>46069236</c:v>
                </c:pt>
                <c:pt idx="28">
                  <c:v>0</c:v>
                </c:pt>
                <c:pt idx="29">
                  <c:v>0</c:v>
                </c:pt>
                <c:pt idx="30">
                  <c:v>17781691</c:v>
                </c:pt>
                <c:pt idx="31">
                  <c:v>2500000</c:v>
                </c:pt>
                <c:pt idx="32">
                  <c:v>0</c:v>
                </c:pt>
                <c:pt idx="33">
                  <c:v>5500000</c:v>
                </c:pt>
              </c:numCache>
            </c:numRef>
          </c:val>
          <c:extLst>
            <c:ext xmlns:c16="http://schemas.microsoft.com/office/drawing/2014/chart" uri="{C3380CC4-5D6E-409C-BE32-E72D297353CC}">
              <c16:uniqueId val="{00000022-BAA7-4631-9299-43F9AC2327D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Державний та гарантований державою борг України</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B3D-42C0-806A-4B3B18203578}"/>
              </c:ext>
            </c:extLst>
          </c:dPt>
          <c:dPt>
            <c:idx val="1"/>
            <c:bubble3D val="0"/>
            <c:extLst>
              <c:ext xmlns:c16="http://schemas.microsoft.com/office/drawing/2014/chart" uri="{C3380CC4-5D6E-409C-BE32-E72D297353CC}">
                <c16:uniqueId val="{00000001-4B3D-42C0-806A-4B3B18203578}"/>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Державний борг</c:v>
                </c:pt>
                <c:pt idx="1">
                  <c:v>Гарантований державою борг</c:v>
                </c:pt>
              </c:strCache>
            </c:strRef>
          </c:cat>
          <c:val>
            <c:numRef>
              <c:f>MK_ALL!$D$19:$D$20</c:f>
              <c:numCache>
                <c:formatCode>0.00%</c:formatCode>
                <c:ptCount val="2"/>
                <c:pt idx="0">
                  <c:v>0.96020099999999997</c:v>
                </c:pt>
                <c:pt idx="1">
                  <c:v>3.9799000000000001E-2</c:v>
                </c:pt>
              </c:numCache>
            </c:numRef>
          </c:val>
          <c:extLst>
            <c:ext xmlns:c16="http://schemas.microsoft.com/office/drawing/2014/chart" uri="{C3380CC4-5D6E-409C-BE32-E72D297353CC}">
              <c16:uniqueId val="{00000002-4B3D-42C0-806A-4B3B1820357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518-493E-8F5D-177D6A91DC21}"/>
              </c:ext>
            </c:extLst>
          </c:dPt>
          <c:dPt>
            <c:idx val="1"/>
            <c:bubble3D val="0"/>
            <c:extLst>
              <c:ext xmlns:c16="http://schemas.microsoft.com/office/drawing/2014/chart" uri="{C3380CC4-5D6E-409C-BE32-E72D297353CC}">
                <c16:uniqueId val="{00000001-0518-493E-8F5D-177D6A91DC21}"/>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Внутрішній борг</c:v>
                </c:pt>
                <c:pt idx="1">
                  <c:v>Зовнішній борг</c:v>
                </c:pt>
              </c:strCache>
            </c:strRef>
          </c:cat>
          <c:val>
            <c:numRef>
              <c:f>MT_ALL!$D$19:$D$20</c:f>
              <c:numCache>
                <c:formatCode>0.00%</c:formatCode>
                <c:ptCount val="2"/>
                <c:pt idx="0">
                  <c:v>0.27249699999999999</c:v>
                </c:pt>
                <c:pt idx="1">
                  <c:v>0.72750300000000001</c:v>
                </c:pt>
              </c:numCache>
            </c:numRef>
          </c:val>
          <c:extLst>
            <c:ext xmlns:c16="http://schemas.microsoft.com/office/drawing/2014/chart" uri="{C3380CC4-5D6E-409C-BE32-E72D297353CC}">
              <c16:uniqueId val="{00000002-0518-493E-8F5D-177D6A91DC2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Державний та гарантований державою борг України за поточний рік (млрд. грн)</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Внутрішній борг</c:v>
                </c:pt>
              </c:strCache>
            </c:strRef>
          </c:tx>
          <c:spPr>
            <a:solidFill>
              <a:srgbClr val="9999FF"/>
            </a:solidFill>
            <a:ln w="12700">
              <a:solidFill>
                <a:srgbClr val="000000"/>
              </a:solidFill>
              <a:prstDash val="solid"/>
            </a:ln>
          </c:spPr>
          <c:invertIfNegative val="0"/>
          <c:cat>
            <c:numRef>
              <c:f>MT_ALL!$B$5:$D$5</c:f>
              <c:numCache>
                <c:formatCode>dd\.mm\.yyyy;@</c:formatCode>
                <c:ptCount val="3"/>
                <c:pt idx="0">
                  <c:v>45657</c:v>
                </c:pt>
                <c:pt idx="1">
                  <c:v>45688</c:v>
                </c:pt>
                <c:pt idx="2">
                  <c:v>45716</c:v>
                </c:pt>
              </c:numCache>
            </c:numRef>
          </c:cat>
          <c:val>
            <c:numRef>
              <c:f>MT_ALL!$B$7:$D$7</c:f>
              <c:numCache>
                <c:formatCode>#,##0.00</c:formatCode>
                <c:ptCount val="3"/>
                <c:pt idx="0">
                  <c:v>1932.48958136344</c:v>
                </c:pt>
                <c:pt idx="1">
                  <c:v>1926.6620924290401</c:v>
                </c:pt>
                <c:pt idx="2">
                  <c:v>1912.8025159085</c:v>
                </c:pt>
              </c:numCache>
            </c:numRef>
          </c:val>
          <c:extLst>
            <c:ext xmlns:c16="http://schemas.microsoft.com/office/drawing/2014/chart" uri="{C3380CC4-5D6E-409C-BE32-E72D297353CC}">
              <c16:uniqueId val="{00000000-43B7-44CE-8077-E7EAC8151939}"/>
            </c:ext>
          </c:extLst>
        </c:ser>
        <c:ser>
          <c:idx val="1"/>
          <c:order val="1"/>
          <c:tx>
            <c:strRef>
              <c:f>MT_ALL!$A$8</c:f>
              <c:strCache>
                <c:ptCount val="1"/>
                <c:pt idx="0">
                  <c:v>Зовнішній борг</c:v>
                </c:pt>
              </c:strCache>
            </c:strRef>
          </c:tx>
          <c:spPr>
            <a:solidFill>
              <a:srgbClr val="993366"/>
            </a:solidFill>
            <a:ln w="12700">
              <a:solidFill>
                <a:srgbClr val="000000"/>
              </a:solidFill>
              <a:prstDash val="solid"/>
            </a:ln>
          </c:spPr>
          <c:invertIfNegative val="0"/>
          <c:cat>
            <c:numRef>
              <c:f>MT_ALL!$B$5:$D$5</c:f>
              <c:numCache>
                <c:formatCode>dd\.mm\.yyyy;@</c:formatCode>
                <c:ptCount val="3"/>
                <c:pt idx="0">
                  <c:v>45657</c:v>
                </c:pt>
                <c:pt idx="1">
                  <c:v>45688</c:v>
                </c:pt>
                <c:pt idx="2">
                  <c:v>45716</c:v>
                </c:pt>
              </c:numCache>
            </c:numRef>
          </c:cat>
          <c:val>
            <c:numRef>
              <c:f>MT_ALL!$B$8:$D$8</c:f>
              <c:numCache>
                <c:formatCode>#,##0.00</c:formatCode>
                <c:ptCount val="3"/>
                <c:pt idx="0">
                  <c:v>5048.4752843821498</c:v>
                </c:pt>
                <c:pt idx="1">
                  <c:v>5141.3513251803397</c:v>
                </c:pt>
                <c:pt idx="2">
                  <c:v>5106.7323256804602</c:v>
                </c:pt>
              </c:numCache>
            </c:numRef>
          </c:val>
          <c:extLst>
            <c:ext xmlns:c16="http://schemas.microsoft.com/office/drawing/2014/chart" uri="{C3380CC4-5D6E-409C-BE32-E72D297353CC}">
              <c16:uniqueId val="{00000001-43B7-44CE-8077-E7EAC8151939}"/>
            </c:ext>
          </c:extLst>
        </c:ser>
        <c:dLbls>
          <c:showLegendKey val="0"/>
          <c:showVal val="0"/>
          <c:showCatName val="0"/>
          <c:showSerName val="0"/>
          <c:showPercent val="0"/>
          <c:showBubbleSize val="0"/>
        </c:dLbls>
        <c:gapWidth val="150"/>
        <c:shape val="box"/>
        <c:axId val="2041421039"/>
        <c:axId val="1"/>
        <c:axId val="0"/>
      </c:bar3DChart>
      <c:catAx>
        <c:axId val="2041421039"/>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2041421039"/>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Внутрішній борг</c:v>
                </c:pt>
              </c:strCache>
            </c:strRef>
          </c:tx>
          <c:spPr>
            <a:solidFill>
              <a:srgbClr val="9999FF"/>
            </a:solidFill>
            <a:ln w="12700">
              <a:solidFill>
                <a:srgbClr val="000000"/>
              </a:solidFill>
              <a:prstDash val="solid"/>
            </a:ln>
          </c:spPr>
          <c:invertIfNegative val="0"/>
          <c:cat>
            <c:numRef>
              <c:f>MT_ALL!$B$11:$D$11</c:f>
              <c:numCache>
                <c:formatCode>dd\.mm\.yyyy;@</c:formatCode>
                <c:ptCount val="3"/>
                <c:pt idx="0">
                  <c:v>45657</c:v>
                </c:pt>
                <c:pt idx="1">
                  <c:v>45688</c:v>
                </c:pt>
                <c:pt idx="2">
                  <c:v>45716</c:v>
                </c:pt>
              </c:numCache>
            </c:numRef>
          </c:cat>
          <c:val>
            <c:numRef>
              <c:f>MT_ALL!$B$13:$D$13</c:f>
              <c:numCache>
                <c:formatCode>#,##0.00</c:formatCode>
                <c:ptCount val="3"/>
                <c:pt idx="0">
                  <c:v>45.968971226080001</c:v>
                </c:pt>
                <c:pt idx="1">
                  <c:v>46.065724925349997</c:v>
                </c:pt>
                <c:pt idx="2">
                  <c:v>46.076083150560002</c:v>
                </c:pt>
              </c:numCache>
            </c:numRef>
          </c:val>
          <c:extLst>
            <c:ext xmlns:c16="http://schemas.microsoft.com/office/drawing/2014/chart" uri="{C3380CC4-5D6E-409C-BE32-E72D297353CC}">
              <c16:uniqueId val="{00000000-D5FF-4E87-88C1-288E03DEF7BB}"/>
            </c:ext>
          </c:extLst>
        </c:ser>
        <c:ser>
          <c:idx val="2"/>
          <c:order val="1"/>
          <c:tx>
            <c:strRef>
              <c:f>MT_ALL!$A$14</c:f>
              <c:strCache>
                <c:ptCount val="1"/>
                <c:pt idx="0">
                  <c:v>Зовнішній борг</c:v>
                </c:pt>
              </c:strCache>
            </c:strRef>
          </c:tx>
          <c:spPr>
            <a:solidFill>
              <a:srgbClr val="993366"/>
            </a:solidFill>
            <a:ln w="12700">
              <a:solidFill>
                <a:srgbClr val="000000"/>
              </a:solidFill>
              <a:prstDash val="solid"/>
            </a:ln>
          </c:spPr>
          <c:invertIfNegative val="0"/>
          <c:cat>
            <c:numRef>
              <c:f>MT_ALL!$B$11:$D$11</c:f>
              <c:numCache>
                <c:formatCode>dd\.mm\.yyyy;@</c:formatCode>
                <c:ptCount val="3"/>
                <c:pt idx="0">
                  <c:v>45657</c:v>
                </c:pt>
                <c:pt idx="1">
                  <c:v>45688</c:v>
                </c:pt>
                <c:pt idx="2">
                  <c:v>45716</c:v>
                </c:pt>
              </c:numCache>
            </c:numRef>
          </c:cat>
          <c:val>
            <c:numRef>
              <c:f>MT_ALL!$B$14:$D$14</c:f>
              <c:numCache>
                <c:formatCode>#,##0.00</c:formatCode>
                <c:ptCount val="3"/>
                <c:pt idx="0">
                  <c:v>120.09028008225999</c:v>
                </c:pt>
                <c:pt idx="1">
                  <c:v>122.92766688137</c:v>
                </c:pt>
                <c:pt idx="2">
                  <c:v>123.01229285724</c:v>
                </c:pt>
              </c:numCache>
            </c:numRef>
          </c:val>
          <c:extLst>
            <c:ext xmlns:c16="http://schemas.microsoft.com/office/drawing/2014/chart" uri="{C3380CC4-5D6E-409C-BE32-E72D297353CC}">
              <c16:uniqueId val="{00000001-D5FF-4E87-88C1-288E03DEF7BB}"/>
            </c:ext>
          </c:extLst>
        </c:ser>
        <c:dLbls>
          <c:showLegendKey val="0"/>
          <c:showVal val="0"/>
          <c:showCatName val="0"/>
          <c:showSerName val="0"/>
          <c:showPercent val="0"/>
          <c:showBubbleSize val="0"/>
        </c:dLbls>
        <c:gapWidth val="150"/>
        <c:shape val="box"/>
        <c:axId val="2041426031"/>
        <c:axId val="1"/>
        <c:axId val="0"/>
      </c:bar3DChart>
      <c:catAx>
        <c:axId val="204142603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2041426031"/>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Державний та гарантований державою борг України
станом на 28.02.2025
(за видами відсоткових ставок)</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9FD-4D06-9B2A-CEF7F7F163A8}"/>
              </c:ext>
            </c:extLst>
          </c:dPt>
          <c:dPt>
            <c:idx val="1"/>
            <c:bubble3D val="0"/>
            <c:extLst>
              <c:ext xmlns:c16="http://schemas.microsoft.com/office/drawing/2014/chart" uri="{C3380CC4-5D6E-409C-BE32-E72D297353CC}">
                <c16:uniqueId val="{00000001-89FD-4D06-9B2A-CEF7F7F163A8}"/>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Борг, по якому сплата відсотків здійснюється за плаваючими процентними ставками</c:v>
                </c:pt>
                <c:pt idx="1">
                  <c:v>Борг, по якому сплата відсотків здійснюється за фіксованими процентними ставками</c:v>
                </c:pt>
              </c:strCache>
            </c:strRef>
          </c:cat>
          <c:val>
            <c:numRef>
              <c:f>SRATE!$B$8:$B$9</c:f>
              <c:numCache>
                <c:formatCode>#,##0.00</c:formatCode>
                <c:ptCount val="2"/>
                <c:pt idx="0">
                  <c:v>57.34619687683</c:v>
                </c:pt>
                <c:pt idx="1">
                  <c:v>111.74217913097</c:v>
                </c:pt>
              </c:numCache>
            </c:numRef>
          </c:val>
          <c:extLst>
            <c:ext xmlns:c16="http://schemas.microsoft.com/office/drawing/2014/chart" uri="{C3380CC4-5D6E-409C-BE32-E72D297353CC}">
              <c16:uniqueId val="{00000002-89FD-4D06-9B2A-CEF7F7F163A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Державний та гарантований державою борг України
станом на 28.02.2025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F0A-475E-8DC5-FB45CAF0F495}"/>
              </c:ext>
            </c:extLst>
          </c:dPt>
          <c:dPt>
            <c:idx val="1"/>
            <c:bubble3D val="0"/>
            <c:extLst>
              <c:ext xmlns:c16="http://schemas.microsoft.com/office/drawing/2014/chart" uri="{C3380CC4-5D6E-409C-BE32-E72D297353CC}">
                <c16:uniqueId val="{00000001-1F0A-475E-8DC5-FB45CAF0F495}"/>
              </c:ext>
            </c:extLst>
          </c:dPt>
          <c:dPt>
            <c:idx val="2"/>
            <c:bubble3D val="0"/>
            <c:extLst>
              <c:ext xmlns:c16="http://schemas.microsoft.com/office/drawing/2014/chart" uri="{C3380CC4-5D6E-409C-BE32-E72D297353CC}">
                <c16:uniqueId val="{00000002-1F0A-475E-8DC5-FB45CAF0F495}"/>
              </c:ext>
            </c:extLst>
          </c:dPt>
          <c:dPt>
            <c:idx val="3"/>
            <c:bubble3D val="0"/>
            <c:extLst>
              <c:ext xmlns:c16="http://schemas.microsoft.com/office/drawing/2014/chart" uri="{C3380CC4-5D6E-409C-BE32-E72D297353CC}">
                <c16:uniqueId val="{00000003-1F0A-475E-8DC5-FB45CAF0F495}"/>
              </c:ext>
            </c:extLst>
          </c:dPt>
          <c:dPt>
            <c:idx val="4"/>
            <c:bubble3D val="0"/>
            <c:extLst>
              <c:ext xmlns:c16="http://schemas.microsoft.com/office/drawing/2014/chart" uri="{C3380CC4-5D6E-409C-BE32-E72D297353CC}">
                <c16:uniqueId val="{00000004-1F0A-475E-8DC5-FB45CAF0F495}"/>
              </c:ext>
            </c:extLst>
          </c:dPt>
          <c:dPt>
            <c:idx val="5"/>
            <c:bubble3D val="0"/>
            <c:extLst>
              <c:ext xmlns:c16="http://schemas.microsoft.com/office/drawing/2014/chart" uri="{C3380CC4-5D6E-409C-BE32-E72D297353CC}">
                <c16:uniqueId val="{00000005-1F0A-475E-8DC5-FB45CAF0F495}"/>
              </c:ext>
            </c:extLst>
          </c:dPt>
          <c:dPt>
            <c:idx val="6"/>
            <c:bubble3D val="0"/>
            <c:extLst>
              <c:ext xmlns:c16="http://schemas.microsoft.com/office/drawing/2014/chart" uri="{C3380CC4-5D6E-409C-BE32-E72D297353CC}">
                <c16:uniqueId val="{00000006-1F0A-475E-8DC5-FB45CAF0F495}"/>
              </c:ext>
            </c:extLst>
          </c:dPt>
          <c:dPt>
            <c:idx val="7"/>
            <c:bubble3D val="0"/>
            <c:extLst>
              <c:ext xmlns:c16="http://schemas.microsoft.com/office/drawing/2014/chart" uri="{C3380CC4-5D6E-409C-BE32-E72D297353CC}">
                <c16:uniqueId val="{00000007-1F0A-475E-8DC5-FB45CAF0F495}"/>
              </c:ext>
            </c:extLst>
          </c:dPt>
          <c:dPt>
            <c:idx val="8"/>
            <c:bubble3D val="0"/>
            <c:extLst>
              <c:ext xmlns:c16="http://schemas.microsoft.com/office/drawing/2014/chart" uri="{C3380CC4-5D6E-409C-BE32-E72D297353CC}">
                <c16:uniqueId val="{00000008-1F0A-475E-8DC5-FB45CAF0F495}"/>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SOFR</c:v>
                </c:pt>
                <c:pt idx="2">
                  <c:v>SONIA</c:v>
                </c:pt>
                <c:pt idx="3">
                  <c:v>TORF</c:v>
                </c:pt>
                <c:pt idx="4">
                  <c:v>Індекс споживчих цін (СРІ)</c:v>
                </c:pt>
                <c:pt idx="5">
                  <c:v>Облікова ставка НБУ</c:v>
                </c:pt>
                <c:pt idx="6">
                  <c:v>Ставка МВФ</c:v>
                </c:pt>
                <c:pt idx="7">
                  <c:v>Український індекс ставок за депозитами фізичних осіб</c:v>
                </c:pt>
                <c:pt idx="8">
                  <c:v>Фіксована</c:v>
                </c:pt>
              </c:strCache>
            </c:strRef>
          </c:cat>
          <c:val>
            <c:numRef>
              <c:f>RATE!$B$8:$B$16</c:f>
              <c:numCache>
                <c:formatCode>#,##0.00</c:formatCode>
                <c:ptCount val="9"/>
                <c:pt idx="0">
                  <c:v>6.1938968174599998</c:v>
                </c:pt>
                <c:pt idx="1">
                  <c:v>20.91427897438</c:v>
                </c:pt>
                <c:pt idx="2">
                  <c:v>0.16799509160000001</c:v>
                </c:pt>
                <c:pt idx="3">
                  <c:v>0.23008456777</c:v>
                </c:pt>
                <c:pt idx="4">
                  <c:v>3.4969633136499998</c:v>
                </c:pt>
                <c:pt idx="5">
                  <c:v>7.0058572305700002</c:v>
                </c:pt>
                <c:pt idx="6">
                  <c:v>18.775871222140001</c:v>
                </c:pt>
                <c:pt idx="7">
                  <c:v>0.56124965926000003</c:v>
                </c:pt>
                <c:pt idx="8">
                  <c:v>111.74217913097</c:v>
                </c:pt>
              </c:numCache>
            </c:numRef>
          </c:val>
          <c:extLst>
            <c:ext xmlns:c16="http://schemas.microsoft.com/office/drawing/2014/chart" uri="{C3380CC4-5D6E-409C-BE32-E72D297353CC}">
              <c16:uniqueId val="{00000009-1F0A-475E-8DC5-FB45CAF0F49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28.02.2025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A6C-4C10-AD6E-B84446F17B05}"/>
              </c:ext>
            </c:extLst>
          </c:dPt>
          <c:dPt>
            <c:idx val="1"/>
            <c:bubble3D val="0"/>
            <c:extLst>
              <c:ext xmlns:c16="http://schemas.microsoft.com/office/drawing/2014/chart" uri="{C3380CC4-5D6E-409C-BE32-E72D297353CC}">
                <c16:uniqueId val="{00000001-6A6C-4C10-AD6E-B84446F17B05}"/>
              </c:ext>
            </c:extLst>
          </c:dPt>
          <c:dPt>
            <c:idx val="2"/>
            <c:bubble3D val="0"/>
            <c:extLst>
              <c:ext xmlns:c16="http://schemas.microsoft.com/office/drawing/2014/chart" uri="{C3380CC4-5D6E-409C-BE32-E72D297353CC}">
                <c16:uniqueId val="{00000002-6A6C-4C10-AD6E-B84446F17B05}"/>
              </c:ext>
            </c:extLst>
          </c:dPt>
          <c:dPt>
            <c:idx val="3"/>
            <c:bubble3D val="0"/>
            <c:extLst>
              <c:ext xmlns:c16="http://schemas.microsoft.com/office/drawing/2014/chart" uri="{C3380CC4-5D6E-409C-BE32-E72D297353CC}">
                <c16:uniqueId val="{00000003-6A6C-4C10-AD6E-B84446F17B05}"/>
              </c:ext>
            </c:extLst>
          </c:dPt>
          <c:dPt>
            <c:idx val="4"/>
            <c:bubble3D val="0"/>
            <c:extLst>
              <c:ext xmlns:c16="http://schemas.microsoft.com/office/drawing/2014/chart" uri="{C3380CC4-5D6E-409C-BE32-E72D297353CC}">
                <c16:uniqueId val="{00000004-6A6C-4C10-AD6E-B84446F17B05}"/>
              </c:ext>
            </c:extLst>
          </c:dPt>
          <c:dPt>
            <c:idx val="5"/>
            <c:bubble3D val="0"/>
            <c:extLst>
              <c:ext xmlns:c16="http://schemas.microsoft.com/office/drawing/2014/chart" uri="{C3380CC4-5D6E-409C-BE32-E72D297353CC}">
                <c16:uniqueId val="{00000005-6A6C-4C10-AD6E-B84446F17B05}"/>
              </c:ext>
            </c:extLst>
          </c:dPt>
          <c:dPt>
            <c:idx val="6"/>
            <c:bubble3D val="0"/>
            <c:extLst>
              <c:ext xmlns:c16="http://schemas.microsoft.com/office/drawing/2014/chart" uri="{C3380CC4-5D6E-409C-BE32-E72D297353CC}">
                <c16:uniqueId val="{00000006-6A6C-4C10-AD6E-B84446F17B05}"/>
              </c:ext>
            </c:extLst>
          </c:dPt>
          <c:dPt>
            <c:idx val="7"/>
            <c:bubble3D val="0"/>
            <c:extLst>
              <c:ext xmlns:c16="http://schemas.microsoft.com/office/drawing/2014/chart" uri="{C3380CC4-5D6E-409C-BE32-E72D297353CC}">
                <c16:uniqueId val="{00000007-6A6C-4C10-AD6E-B84446F17B05}"/>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RATE!$A$24:$A$31</c:f>
              <c:strCache>
                <c:ptCount val="8"/>
                <c:pt idx="0">
                  <c:v>EURIBOR</c:v>
                </c:pt>
                <c:pt idx="1">
                  <c:v>SOFR</c:v>
                </c:pt>
                <c:pt idx="2">
                  <c:v>SONIA</c:v>
                </c:pt>
                <c:pt idx="3">
                  <c:v>TORF</c:v>
                </c:pt>
                <c:pt idx="4">
                  <c:v>Індекс споживчих цін (СРІ)</c:v>
                </c:pt>
                <c:pt idx="5">
                  <c:v>Облікова ставка НБУ</c:v>
                </c:pt>
                <c:pt idx="6">
                  <c:v>Ставка МВФ</c:v>
                </c:pt>
                <c:pt idx="7">
                  <c:v>Фіксована</c:v>
                </c:pt>
              </c:strCache>
            </c:strRef>
          </c:cat>
          <c:val>
            <c:numRef>
              <c:f>RATE!$B$24:$B$31</c:f>
              <c:numCache>
                <c:formatCode>#\ ##0.00;\-#\ ##0.00;</c:formatCode>
                <c:ptCount val="8"/>
                <c:pt idx="0" formatCode="#,##0.00">
                  <c:v>5.0428081889299996</c:v>
                </c:pt>
                <c:pt idx="1">
                  <c:v>19.575720015870001</c:v>
                </c:pt>
                <c:pt idx="2" formatCode="#,##0.00">
                  <c:v>0.16799509160000001</c:v>
                </c:pt>
                <c:pt idx="3" formatCode="#,##0.00">
                  <c:v>0.23008456777</c:v>
                </c:pt>
                <c:pt idx="4" formatCode="#,##0.00">
                  <c:v>3.4969633136499998</c:v>
                </c:pt>
                <c:pt idx="5" formatCode="#,##0.00">
                  <c:v>6.7447126271000002</c:v>
                </c:pt>
                <c:pt idx="6" formatCode="#,##0.00">
                  <c:v>17.649558838250002</c:v>
                </c:pt>
                <c:pt idx="7" formatCode="#,##0.00">
                  <c:v>109.45094820484999</c:v>
                </c:pt>
              </c:numCache>
            </c:numRef>
          </c:val>
          <c:extLst>
            <c:ext xmlns:c16="http://schemas.microsoft.com/office/drawing/2014/chart" uri="{C3380CC4-5D6E-409C-BE32-E72D297353CC}">
              <c16:uniqueId val="{00000008-6A6C-4C10-AD6E-B84446F17B0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I180"/>
  <sheetViews>
    <sheetView workbookViewId="0">
      <selection activeCell="A6" sqref="A6"/>
    </sheetView>
  </sheetViews>
  <sheetFormatPr defaultColWidth="9.1796875" defaultRowHeight="10.5" outlineLevelRow="4" x14ac:dyDescent="0.25"/>
  <cols>
    <col min="1" max="1" width="52" style="8" customWidth="1"/>
    <col min="2" max="4" width="16.26953125" style="9" customWidth="1"/>
    <col min="5" max="5" width="9.1796875" style="8" customWidth="1"/>
    <col min="6" max="16384" width="9.1796875" style="8"/>
  </cols>
  <sheetData>
    <row r="1" spans="1:9" s="22" customFormat="1" ht="13" x14ac:dyDescent="0.3">
      <c r="B1" s="23"/>
      <c r="C1" s="23"/>
      <c r="D1" s="23"/>
    </row>
    <row r="2" spans="1:9" s="30" customFormat="1" ht="18.5" x14ac:dyDescent="0.45">
      <c r="A2" s="1" t="str">
        <f>DEBT_AS_OF_CURR_YEAR</f>
        <v>Державний та гарантований державою борг України за поточний рік</v>
      </c>
      <c r="B2" s="1"/>
      <c r="C2" s="1"/>
      <c r="D2" s="1"/>
      <c r="E2" s="29"/>
      <c r="F2" s="29"/>
      <c r="G2" s="29"/>
      <c r="H2" s="29"/>
      <c r="I2" s="29"/>
    </row>
    <row r="3" spans="1:9" s="22" customFormat="1" ht="13" x14ac:dyDescent="0.3">
      <c r="B3" s="25"/>
      <c r="C3" s="25"/>
      <c r="D3" s="25"/>
      <c r="E3" s="26"/>
      <c r="F3" s="26"/>
      <c r="G3" s="26"/>
    </row>
    <row r="4" spans="1:9" s="27" customFormat="1" ht="13" x14ac:dyDescent="0.3">
      <c r="B4" s="28"/>
      <c r="C4" s="28"/>
      <c r="D4" s="28" t="str">
        <f>VALUAH</f>
        <v>млрд. грн</v>
      </c>
    </row>
    <row r="5" spans="1:9" s="14" customFormat="1" ht="13" x14ac:dyDescent="0.25">
      <c r="A5" s="12"/>
      <c r="B5" s="13">
        <v>45657</v>
      </c>
      <c r="C5" s="13">
        <v>45688</v>
      </c>
      <c r="D5" s="13">
        <v>45716</v>
      </c>
    </row>
    <row r="6" spans="1:9" s="15" customFormat="1" ht="31" x14ac:dyDescent="0.25">
      <c r="A6" s="141" t="str">
        <f>DEBT_TOTAL</f>
        <v>Загальна сума державного та гарантованого державою боргу</v>
      </c>
      <c r="B6" s="21">
        <f>B$7+B$58</f>
        <v>6980.9648657455909</v>
      </c>
      <c r="C6" s="21">
        <f>C$7+C$58</f>
        <v>7068.0134176093798</v>
      </c>
      <c r="D6" s="21">
        <f>D$7+D$58</f>
        <v>7019.5348415889594</v>
      </c>
    </row>
    <row r="7" spans="1:9" s="127" customFormat="1" ht="14.5" outlineLevel="1" x14ac:dyDescent="0.25">
      <c r="A7" s="168" t="s">
        <v>57</v>
      </c>
      <c r="B7" s="169">
        <f>B$8+B$43</f>
        <v>1932.4895813634391</v>
      </c>
      <c r="C7" s="169">
        <f>C$8+C$43</f>
        <v>1926.6620924290394</v>
      </c>
      <c r="D7" s="169">
        <f>D$8+D$43</f>
        <v>1912.8025159084993</v>
      </c>
    </row>
    <row r="8" spans="1:9" s="17" customFormat="1" ht="14.5" outlineLevel="2" x14ac:dyDescent="0.25">
      <c r="A8" s="170" t="s">
        <v>1</v>
      </c>
      <c r="B8" s="171">
        <f>B$9+B$41</f>
        <v>1863.132117454179</v>
      </c>
      <c r="C8" s="171">
        <f>C$9+C$41</f>
        <v>1855.0953091999793</v>
      </c>
      <c r="D8" s="171">
        <f>D$9+D$41</f>
        <v>1839.6172841585794</v>
      </c>
    </row>
    <row r="9" spans="1:9" s="18" customFormat="1" ht="13" outlineLevel="3" x14ac:dyDescent="0.25">
      <c r="A9" s="172" t="s">
        <v>58</v>
      </c>
      <c r="B9" s="173">
        <f>SUM(B$10:B$40)</f>
        <v>1861.6773397063989</v>
      </c>
      <c r="C9" s="173">
        <f>SUM(C$10:C$40)</f>
        <v>1853.6405314521992</v>
      </c>
      <c r="D9" s="173">
        <f>SUM(D$10:D$40)</f>
        <v>1838.1625064107993</v>
      </c>
    </row>
    <row r="10" spans="1:9" s="20" customFormat="1" ht="13" outlineLevel="4" x14ac:dyDescent="0.25">
      <c r="A10" s="174" t="s">
        <v>59</v>
      </c>
      <c r="B10" s="166">
        <v>58.630439000000003</v>
      </c>
      <c r="C10" s="166">
        <v>58.630439000000003</v>
      </c>
      <c r="D10" s="166">
        <v>58.630439000000003</v>
      </c>
    </row>
    <row r="11" spans="1:9" ht="13" outlineLevel="4" x14ac:dyDescent="0.3">
      <c r="A11" s="175" t="s">
        <v>60</v>
      </c>
      <c r="B11" s="176">
        <v>17.533000000000001</v>
      </c>
      <c r="C11" s="176">
        <v>17.533000000000001</v>
      </c>
      <c r="D11" s="176">
        <v>17.533000000000001</v>
      </c>
      <c r="E11" s="11"/>
      <c r="F11" s="11"/>
      <c r="G11" s="11"/>
    </row>
    <row r="12" spans="1:9" ht="13" outlineLevel="4" x14ac:dyDescent="0.3">
      <c r="A12" s="175" t="s">
        <v>61</v>
      </c>
      <c r="B12" s="176">
        <v>3.8132242193999999</v>
      </c>
      <c r="C12" s="176">
        <v>3.7770335472999998</v>
      </c>
      <c r="D12" s="176">
        <v>3.7756880077999999</v>
      </c>
      <c r="E12" s="11"/>
      <c r="F12" s="11"/>
      <c r="G12" s="11"/>
    </row>
    <row r="13" spans="1:9" ht="13" outlineLevel="4" x14ac:dyDescent="0.3">
      <c r="A13" s="175" t="s">
        <v>62</v>
      </c>
      <c r="B13" s="176">
        <v>50</v>
      </c>
      <c r="C13" s="176">
        <v>50</v>
      </c>
      <c r="D13" s="176">
        <v>50</v>
      </c>
      <c r="E13" s="11"/>
      <c r="F13" s="11"/>
      <c r="G13" s="11"/>
    </row>
    <row r="14" spans="1:9" ht="13" outlineLevel="4" x14ac:dyDescent="0.3">
      <c r="A14" s="175" t="s">
        <v>63</v>
      </c>
      <c r="B14" s="176">
        <v>33.700001</v>
      </c>
      <c r="C14" s="176">
        <v>33.700001</v>
      </c>
      <c r="D14" s="176">
        <v>33.700001</v>
      </c>
      <c r="E14" s="11"/>
      <c r="F14" s="11"/>
      <c r="G14" s="11"/>
    </row>
    <row r="15" spans="1:9" ht="13" outlineLevel="4" x14ac:dyDescent="0.3">
      <c r="A15" s="175" t="s">
        <v>64</v>
      </c>
      <c r="B15" s="176">
        <v>46.9</v>
      </c>
      <c r="C15" s="176">
        <v>46.9</v>
      </c>
      <c r="D15" s="176">
        <v>46.9</v>
      </c>
      <c r="E15" s="11"/>
      <c r="F15" s="11"/>
      <c r="G15" s="11"/>
    </row>
    <row r="16" spans="1:9" ht="13" outlineLevel="4" x14ac:dyDescent="0.3">
      <c r="A16" s="175" t="s">
        <v>65</v>
      </c>
      <c r="B16" s="176">
        <v>225.503117</v>
      </c>
      <c r="C16" s="176">
        <v>225.503117</v>
      </c>
      <c r="D16" s="176">
        <v>225.503117</v>
      </c>
      <c r="E16" s="11"/>
      <c r="F16" s="11"/>
      <c r="G16" s="11"/>
    </row>
    <row r="17" spans="1:7" ht="13" outlineLevel="4" x14ac:dyDescent="0.3">
      <c r="A17" s="175" t="s">
        <v>66</v>
      </c>
      <c r="B17" s="176">
        <v>12.097744</v>
      </c>
      <c r="C17" s="176">
        <v>12.097744</v>
      </c>
      <c r="D17" s="176">
        <v>12.097744</v>
      </c>
      <c r="E17" s="11"/>
      <c r="F17" s="11"/>
      <c r="G17" s="11"/>
    </row>
    <row r="18" spans="1:7" ht="13" outlineLevel="4" x14ac:dyDescent="0.3">
      <c r="A18" s="175" t="s">
        <v>67</v>
      </c>
      <c r="B18" s="176">
        <v>27.097743999999999</v>
      </c>
      <c r="C18" s="176">
        <v>27.097743999999999</v>
      </c>
      <c r="D18" s="176">
        <v>27.097743999999999</v>
      </c>
      <c r="E18" s="11"/>
      <c r="F18" s="11"/>
      <c r="G18" s="11"/>
    </row>
    <row r="19" spans="1:7" ht="13" outlineLevel="4" x14ac:dyDescent="0.3">
      <c r="A19" s="175" t="s">
        <v>68</v>
      </c>
      <c r="B19" s="176">
        <v>284.818024487</v>
      </c>
      <c r="C19" s="176">
        <v>271.4485969049</v>
      </c>
      <c r="D19" s="176">
        <v>283.235635403</v>
      </c>
      <c r="E19" s="11"/>
      <c r="F19" s="11"/>
      <c r="G19" s="11"/>
    </row>
    <row r="20" spans="1:7" ht="13" outlineLevel="4" x14ac:dyDescent="0.3">
      <c r="A20" s="175" t="s">
        <v>69</v>
      </c>
      <c r="B20" s="176">
        <v>12.097744</v>
      </c>
      <c r="C20" s="176">
        <v>12.097744</v>
      </c>
      <c r="D20" s="176">
        <v>12.097744</v>
      </c>
      <c r="E20" s="11"/>
      <c r="F20" s="11"/>
      <c r="G20" s="11"/>
    </row>
    <row r="21" spans="1:7" ht="13" outlineLevel="4" x14ac:dyDescent="0.3">
      <c r="A21" s="175" t="s">
        <v>70</v>
      </c>
      <c r="B21" s="176">
        <v>12.097744</v>
      </c>
      <c r="C21" s="176">
        <v>12.097744</v>
      </c>
      <c r="D21" s="176">
        <v>12.097744</v>
      </c>
      <c r="E21" s="11"/>
      <c r="F21" s="11"/>
      <c r="G21" s="11"/>
    </row>
    <row r="22" spans="1:7" ht="13" outlineLevel="4" x14ac:dyDescent="0.3">
      <c r="A22" s="175" t="s">
        <v>71</v>
      </c>
      <c r="B22" s="176">
        <v>285.63223799999997</v>
      </c>
      <c r="C22" s="176">
        <v>270.95795900000002</v>
      </c>
      <c r="D22" s="176">
        <v>274.77464800000001</v>
      </c>
      <c r="E22" s="11"/>
      <c r="F22" s="11"/>
      <c r="G22" s="11"/>
    </row>
    <row r="23" spans="1:7" ht="13" outlineLevel="4" x14ac:dyDescent="0.3">
      <c r="A23" s="175" t="s">
        <v>72</v>
      </c>
      <c r="B23" s="176">
        <v>12.097744</v>
      </c>
      <c r="C23" s="176">
        <v>12.097744</v>
      </c>
      <c r="D23" s="176">
        <v>12.097744</v>
      </c>
      <c r="E23" s="11"/>
      <c r="F23" s="11"/>
      <c r="G23" s="11"/>
    </row>
    <row r="24" spans="1:7" ht="13" outlineLevel="4" x14ac:dyDescent="0.3">
      <c r="A24" s="175" t="s">
        <v>73</v>
      </c>
      <c r="B24" s="176">
        <v>12.097744</v>
      </c>
      <c r="C24" s="176">
        <v>12.097744</v>
      </c>
      <c r="D24" s="176">
        <v>12.097744</v>
      </c>
      <c r="E24" s="11"/>
      <c r="F24" s="11"/>
      <c r="G24" s="11"/>
    </row>
    <row r="25" spans="1:7" ht="13" outlineLevel="4" x14ac:dyDescent="0.3">
      <c r="A25" s="175" t="s">
        <v>74</v>
      </c>
      <c r="B25" s="176">
        <v>12.097744</v>
      </c>
      <c r="C25" s="176">
        <v>12.097744</v>
      </c>
      <c r="D25" s="176">
        <v>12.097744</v>
      </c>
      <c r="E25" s="11"/>
      <c r="F25" s="11"/>
      <c r="G25" s="11"/>
    </row>
    <row r="26" spans="1:7" ht="13" outlineLevel="4" x14ac:dyDescent="0.3">
      <c r="A26" s="175" t="s">
        <v>75</v>
      </c>
      <c r="B26" s="176">
        <v>12.097744</v>
      </c>
      <c r="C26" s="176">
        <v>12.097744</v>
      </c>
      <c r="D26" s="176">
        <v>12.097744</v>
      </c>
      <c r="E26" s="11"/>
      <c r="F26" s="11"/>
      <c r="G26" s="11"/>
    </row>
    <row r="27" spans="1:7" ht="13" outlineLevel="4" x14ac:dyDescent="0.3">
      <c r="A27" s="175" t="s">
        <v>76</v>
      </c>
      <c r="B27" s="176">
        <v>12.097744</v>
      </c>
      <c r="C27" s="176">
        <v>12.097744</v>
      </c>
      <c r="D27" s="176">
        <v>12.097744</v>
      </c>
      <c r="E27" s="11"/>
      <c r="F27" s="11"/>
      <c r="G27" s="11"/>
    </row>
    <row r="28" spans="1:7" ht="13" outlineLevel="4" x14ac:dyDescent="0.3">
      <c r="A28" s="175" t="s">
        <v>77</v>
      </c>
      <c r="B28" s="176">
        <v>12.097744</v>
      </c>
      <c r="C28" s="176">
        <v>12.097744</v>
      </c>
      <c r="D28" s="176">
        <v>12.097744</v>
      </c>
      <c r="E28" s="11"/>
      <c r="F28" s="11"/>
      <c r="G28" s="11"/>
    </row>
    <row r="29" spans="1:7" ht="13" outlineLevel="4" x14ac:dyDescent="0.3">
      <c r="A29" s="175" t="s">
        <v>78</v>
      </c>
      <c r="B29" s="176">
        <v>12.097744</v>
      </c>
      <c r="C29" s="176">
        <v>12.097744</v>
      </c>
      <c r="D29" s="176">
        <v>12.097744</v>
      </c>
      <c r="E29" s="11"/>
      <c r="F29" s="11"/>
      <c r="G29" s="11"/>
    </row>
    <row r="30" spans="1:7" ht="13" outlineLevel="4" x14ac:dyDescent="0.3">
      <c r="A30" s="175" t="s">
        <v>79</v>
      </c>
      <c r="B30" s="176">
        <v>12.097744</v>
      </c>
      <c r="C30" s="176">
        <v>12.097744</v>
      </c>
      <c r="D30" s="176">
        <v>12.097744</v>
      </c>
      <c r="E30" s="11"/>
      <c r="F30" s="11"/>
      <c r="G30" s="11"/>
    </row>
    <row r="31" spans="1:7" ht="13" outlineLevel="4" x14ac:dyDescent="0.3">
      <c r="A31" s="175" t="s">
        <v>80</v>
      </c>
      <c r="B31" s="176">
        <v>12.097744</v>
      </c>
      <c r="C31" s="176">
        <v>12.097744</v>
      </c>
      <c r="D31" s="176">
        <v>12.097744</v>
      </c>
      <c r="E31" s="11"/>
      <c r="F31" s="11"/>
      <c r="G31" s="11"/>
    </row>
    <row r="32" spans="1:7" ht="13" outlineLevel="4" x14ac:dyDescent="0.3">
      <c r="A32" s="175" t="s">
        <v>81</v>
      </c>
      <c r="B32" s="176">
        <v>12.097744</v>
      </c>
      <c r="C32" s="176">
        <v>12.097744</v>
      </c>
      <c r="D32" s="176">
        <v>12.097744</v>
      </c>
      <c r="E32" s="11"/>
      <c r="F32" s="11"/>
      <c r="G32" s="11"/>
    </row>
    <row r="33" spans="1:7" ht="13" outlineLevel="4" x14ac:dyDescent="0.3">
      <c r="A33" s="175" t="s">
        <v>83</v>
      </c>
      <c r="B33" s="176">
        <v>284.55799400000001</v>
      </c>
      <c r="C33" s="176">
        <v>284.60108300000002</v>
      </c>
      <c r="D33" s="176">
        <v>294.60108300000002</v>
      </c>
      <c r="E33" s="11"/>
      <c r="F33" s="11"/>
      <c r="G33" s="11"/>
    </row>
    <row r="34" spans="1:7" ht="13" outlineLevel="4" x14ac:dyDescent="0.3">
      <c r="A34" s="175" t="s">
        <v>84</v>
      </c>
      <c r="B34" s="176">
        <v>257.09775100000002</v>
      </c>
      <c r="C34" s="176">
        <v>257.09775100000002</v>
      </c>
      <c r="D34" s="176">
        <v>257.09775100000002</v>
      </c>
      <c r="E34" s="11"/>
      <c r="F34" s="11"/>
      <c r="G34" s="11"/>
    </row>
    <row r="35" spans="1:7" ht="13" outlineLevel="4" x14ac:dyDescent="0.3">
      <c r="A35" s="175" t="s">
        <v>85</v>
      </c>
      <c r="B35" s="176">
        <v>16.191801000000002</v>
      </c>
      <c r="C35" s="176">
        <v>36.191800999999998</v>
      </c>
      <c r="D35" s="176">
        <v>36.191800999999998</v>
      </c>
      <c r="E35" s="11"/>
      <c r="F35" s="11"/>
      <c r="G35" s="11"/>
    </row>
    <row r="36" spans="1:7" ht="13" outlineLevel="4" x14ac:dyDescent="0.3">
      <c r="A36" s="175" t="s">
        <v>86</v>
      </c>
      <c r="B36" s="176">
        <v>46.069235999999997</v>
      </c>
      <c r="C36" s="176">
        <v>46.069235999999997</v>
      </c>
      <c r="D36" s="176">
        <v>46.069235999999997</v>
      </c>
      <c r="E36" s="11"/>
      <c r="F36" s="11"/>
      <c r="G36" s="11"/>
    </row>
    <row r="37" spans="1:7" ht="13" outlineLevel="4" x14ac:dyDescent="0.3">
      <c r="A37" s="175" t="s">
        <v>88</v>
      </c>
      <c r="B37" s="176">
        <v>41.080407000000001</v>
      </c>
      <c r="C37" s="176">
        <v>41.080407000000001</v>
      </c>
      <c r="D37" s="176">
        <v>0</v>
      </c>
      <c r="E37" s="11"/>
      <c r="F37" s="11"/>
      <c r="G37" s="11"/>
    </row>
    <row r="38" spans="1:7" ht="13" outlineLevel="4" x14ac:dyDescent="0.3">
      <c r="A38" s="175" t="s">
        <v>89</v>
      </c>
      <c r="B38" s="176">
        <v>17.781690999999999</v>
      </c>
      <c r="C38" s="176">
        <v>17.781690999999999</v>
      </c>
      <c r="D38" s="176">
        <v>17.781690999999999</v>
      </c>
      <c r="E38" s="11"/>
      <c r="F38" s="11"/>
      <c r="G38" s="11"/>
    </row>
    <row r="39" spans="1:7" ht="13" outlineLevel="4" x14ac:dyDescent="0.3">
      <c r="A39" s="175" t="s">
        <v>90</v>
      </c>
      <c r="B39" s="176">
        <v>2.5</v>
      </c>
      <c r="C39" s="176">
        <v>2.5</v>
      </c>
      <c r="D39" s="176">
        <v>2.5</v>
      </c>
      <c r="E39" s="11"/>
      <c r="F39" s="11"/>
      <c r="G39" s="11"/>
    </row>
    <row r="40" spans="1:7" ht="13" outlineLevel="4" x14ac:dyDescent="0.3">
      <c r="A40" s="175" t="s">
        <v>92</v>
      </c>
      <c r="B40" s="176">
        <v>5.5</v>
      </c>
      <c r="C40" s="176">
        <v>5.5</v>
      </c>
      <c r="D40" s="176">
        <v>5.5</v>
      </c>
      <c r="E40" s="11"/>
      <c r="F40" s="11"/>
      <c r="G40" s="11"/>
    </row>
    <row r="41" spans="1:7" ht="13" outlineLevel="3" x14ac:dyDescent="0.3">
      <c r="A41" s="177" t="s">
        <v>93</v>
      </c>
      <c r="B41" s="176">
        <f>SUM(B$42:B$42)</f>
        <v>1.4547777477799999</v>
      </c>
      <c r="C41" s="176">
        <f>SUM(C$42:C$42)</f>
        <v>1.4547777477799999</v>
      </c>
      <c r="D41" s="176">
        <f>SUM(D$42:D$42)</f>
        <v>1.4547777477799999</v>
      </c>
      <c r="E41" s="11"/>
      <c r="F41" s="11"/>
      <c r="G41" s="11"/>
    </row>
    <row r="42" spans="1:7" ht="13" outlineLevel="4" x14ac:dyDescent="0.3">
      <c r="A42" s="175" t="s">
        <v>94</v>
      </c>
      <c r="B42" s="176">
        <v>1.4547777477799999</v>
      </c>
      <c r="C42" s="176">
        <v>1.4547777477799999</v>
      </c>
      <c r="D42" s="176">
        <v>1.4547777477799999</v>
      </c>
      <c r="E42" s="11"/>
      <c r="F42" s="11"/>
      <c r="G42" s="11"/>
    </row>
    <row r="43" spans="1:7" ht="14.5" outlineLevel="2" x14ac:dyDescent="0.35">
      <c r="A43" s="178" t="s">
        <v>2</v>
      </c>
      <c r="B43" s="179">
        <f>B$44+B$48+B$56</f>
        <v>69.357463909260005</v>
      </c>
      <c r="C43" s="179">
        <f>C$44+C$48+C$56</f>
        <v>71.566783229060007</v>
      </c>
      <c r="D43" s="179">
        <f>D$44+D$48+D$56</f>
        <v>73.185231749920007</v>
      </c>
      <c r="E43" s="11"/>
      <c r="F43" s="11"/>
      <c r="G43" s="11"/>
    </row>
    <row r="44" spans="1:7" ht="13" outlineLevel="3" x14ac:dyDescent="0.3">
      <c r="A44" s="177" t="s">
        <v>58</v>
      </c>
      <c r="B44" s="176">
        <f>SUM(B$45:B$47)</f>
        <v>4.4750116000000002</v>
      </c>
      <c r="C44" s="176">
        <f>SUM(C$45:C$47)</f>
        <v>4.4750116000000002</v>
      </c>
      <c r="D44" s="176">
        <f>SUM(D$45:D$47)</f>
        <v>4.4750116000000002</v>
      </c>
      <c r="E44" s="11"/>
      <c r="F44" s="11"/>
      <c r="G44" s="11"/>
    </row>
    <row r="45" spans="1:7" ht="13" outlineLevel="4" x14ac:dyDescent="0.3">
      <c r="A45" s="175" t="s">
        <v>138</v>
      </c>
      <c r="B45" s="176">
        <v>1.1600000000000001E-5</v>
      </c>
      <c r="C45" s="176">
        <v>1.1600000000000001E-5</v>
      </c>
      <c r="D45" s="176">
        <v>1.1600000000000001E-5</v>
      </c>
      <c r="E45" s="11"/>
      <c r="F45" s="11"/>
      <c r="G45" s="11"/>
    </row>
    <row r="46" spans="1:7" ht="13" outlineLevel="4" x14ac:dyDescent="0.3">
      <c r="A46" s="175" t="s">
        <v>139</v>
      </c>
      <c r="B46" s="176">
        <v>2.4750000000000001</v>
      </c>
      <c r="C46" s="176">
        <v>2.4750000000000001</v>
      </c>
      <c r="D46" s="176">
        <v>2.4750000000000001</v>
      </c>
      <c r="E46" s="11"/>
      <c r="F46" s="11"/>
      <c r="G46" s="11"/>
    </row>
    <row r="47" spans="1:7" ht="13" outlineLevel="4" x14ac:dyDescent="0.3">
      <c r="A47" s="175" t="s">
        <v>144</v>
      </c>
      <c r="B47" s="176">
        <v>2</v>
      </c>
      <c r="C47" s="176">
        <v>2</v>
      </c>
      <c r="D47" s="176">
        <v>2</v>
      </c>
      <c r="E47" s="11"/>
      <c r="F47" s="11"/>
      <c r="G47" s="11"/>
    </row>
    <row r="48" spans="1:7" ht="13" outlineLevel="3" x14ac:dyDescent="0.3">
      <c r="A48" s="177" t="s">
        <v>93</v>
      </c>
      <c r="B48" s="176">
        <f>SUM(B$49:B$55)</f>
        <v>64.881497659260006</v>
      </c>
      <c r="C48" s="176">
        <f>SUM(C$49:C$55)</f>
        <v>67.090816979060008</v>
      </c>
      <c r="D48" s="176">
        <f>SUM(D$49:D$55)</f>
        <v>68.709265499920008</v>
      </c>
      <c r="E48" s="11"/>
      <c r="F48" s="11"/>
      <c r="G48" s="11"/>
    </row>
    <row r="49" spans="1:7" ht="13" outlineLevel="4" x14ac:dyDescent="0.3">
      <c r="A49" s="175" t="s">
        <v>145</v>
      </c>
      <c r="B49" s="176">
        <v>2.6414929643299998</v>
      </c>
      <c r="C49" s="176">
        <v>3.1617778014</v>
      </c>
      <c r="D49" s="176">
        <v>3.2630255785100002</v>
      </c>
      <c r="E49" s="11"/>
      <c r="F49" s="11"/>
      <c r="G49" s="11"/>
    </row>
    <row r="50" spans="1:7" ht="13" outlineLevel="4" x14ac:dyDescent="0.3">
      <c r="A50" s="175" t="s">
        <v>146</v>
      </c>
      <c r="B50" s="176">
        <v>0.30361500074999997</v>
      </c>
      <c r="C50" s="176">
        <v>0.28696048412000003</v>
      </c>
      <c r="D50" s="176">
        <v>0.26984100083000001</v>
      </c>
      <c r="E50" s="11"/>
      <c r="F50" s="11"/>
      <c r="G50" s="11"/>
    </row>
    <row r="51" spans="1:7" ht="13" outlineLevel="4" x14ac:dyDescent="0.3">
      <c r="A51" s="175" t="s">
        <v>147</v>
      </c>
      <c r="B51" s="176">
        <v>14.99023391273</v>
      </c>
      <c r="C51" s="176">
        <v>15.19114574242</v>
      </c>
      <c r="D51" s="176">
        <v>16.907108891290001</v>
      </c>
      <c r="E51" s="11"/>
      <c r="F51" s="11"/>
      <c r="G51" s="11"/>
    </row>
    <row r="52" spans="1:7" ht="13" outlineLevel="4" x14ac:dyDescent="0.3">
      <c r="A52" s="175" t="s">
        <v>148</v>
      </c>
      <c r="B52" s="176">
        <v>13.25976210098</v>
      </c>
      <c r="C52" s="176">
        <v>14.5485412967</v>
      </c>
      <c r="D52" s="176">
        <v>14.743566531360001</v>
      </c>
      <c r="E52" s="11"/>
      <c r="F52" s="11"/>
      <c r="G52" s="11"/>
    </row>
    <row r="53" spans="1:7" ht="13" outlineLevel="4" x14ac:dyDescent="0.3">
      <c r="A53" s="175" t="s">
        <v>149</v>
      </c>
      <c r="B53" s="176">
        <v>0.23354999851</v>
      </c>
      <c r="C53" s="176">
        <v>0.53051199010000005</v>
      </c>
      <c r="D53" s="176">
        <v>0.61849195173000004</v>
      </c>
      <c r="E53" s="11"/>
      <c r="F53" s="11"/>
      <c r="G53" s="11"/>
    </row>
    <row r="54" spans="1:7" ht="13" outlineLevel="4" x14ac:dyDescent="0.3">
      <c r="A54" s="175" t="s">
        <v>150</v>
      </c>
      <c r="B54" s="176">
        <v>0.32696999924999998</v>
      </c>
      <c r="C54" s="176">
        <v>0.30903436587999999</v>
      </c>
      <c r="D54" s="176">
        <v>0.29059799917000001</v>
      </c>
      <c r="E54" s="11"/>
      <c r="F54" s="11"/>
      <c r="G54" s="11"/>
    </row>
    <row r="55" spans="1:7" ht="13" outlineLevel="4" x14ac:dyDescent="0.3">
      <c r="A55" s="175" t="s">
        <v>153</v>
      </c>
      <c r="B55" s="176">
        <v>33.125873682710001</v>
      </c>
      <c r="C55" s="176">
        <v>33.062845298440003</v>
      </c>
      <c r="D55" s="176">
        <v>32.616633547029998</v>
      </c>
      <c r="E55" s="11"/>
      <c r="F55" s="11"/>
      <c r="G55" s="11"/>
    </row>
    <row r="56" spans="1:7" ht="13" outlineLevel="3" x14ac:dyDescent="0.3">
      <c r="A56" s="177" t="s">
        <v>154</v>
      </c>
      <c r="B56" s="176">
        <f>SUM(B$57:B$57)</f>
        <v>9.5465000000000003E-4</v>
      </c>
      <c r="C56" s="176">
        <f>SUM(C$57:C$57)</f>
        <v>9.5465000000000003E-4</v>
      </c>
      <c r="D56" s="176">
        <f>SUM(D$57:D$57)</f>
        <v>9.5465000000000003E-4</v>
      </c>
      <c r="E56" s="11"/>
      <c r="F56" s="11"/>
      <c r="G56" s="11"/>
    </row>
    <row r="57" spans="1:7" ht="13" outlineLevel="4" x14ac:dyDescent="0.3">
      <c r="A57" s="175" t="s">
        <v>155</v>
      </c>
      <c r="B57" s="176">
        <v>9.5465000000000003E-4</v>
      </c>
      <c r="C57" s="176">
        <v>9.5465000000000003E-4</v>
      </c>
      <c r="D57" s="176">
        <v>9.5465000000000003E-4</v>
      </c>
      <c r="E57" s="11"/>
      <c r="F57" s="11"/>
      <c r="G57" s="11"/>
    </row>
    <row r="58" spans="1:7" ht="14.5" outlineLevel="1" x14ac:dyDescent="0.35">
      <c r="A58" s="180" t="s">
        <v>95</v>
      </c>
      <c r="B58" s="181">
        <f>B$59+B$96</f>
        <v>5048.4752843821516</v>
      </c>
      <c r="C58" s="181">
        <f>C$59+C$96</f>
        <v>5141.3513251803406</v>
      </c>
      <c r="D58" s="181">
        <f>D$59+D$96</f>
        <v>5106.7323256804602</v>
      </c>
      <c r="E58" s="11"/>
      <c r="F58" s="11"/>
      <c r="G58" s="11"/>
    </row>
    <row r="59" spans="1:7" ht="14.5" outlineLevel="2" x14ac:dyDescent="0.35">
      <c r="A59" s="178" t="s">
        <v>1</v>
      </c>
      <c r="B59" s="179">
        <f>B$60+B$70+B$81+B$83+B$90+B$92+B$94</f>
        <v>4829.3216389738018</v>
      </c>
      <c r="C59" s="179">
        <f>C$60+C$70+C$81+C$83+C$90+C$92+C$94</f>
        <v>4923.8023745592709</v>
      </c>
      <c r="D59" s="179">
        <f>D$60+D$70+D$81+D$83+D$90+D$92+D$94</f>
        <v>4900.5455591074806</v>
      </c>
      <c r="E59" s="11"/>
      <c r="F59" s="11"/>
      <c r="G59" s="11"/>
    </row>
    <row r="60" spans="1:7" ht="13" outlineLevel="3" x14ac:dyDescent="0.3">
      <c r="A60" s="177" t="s">
        <v>96</v>
      </c>
      <c r="B60" s="176">
        <f>SUM(B$61:B$69)</f>
        <v>3481.9848215421307</v>
      </c>
      <c r="C60" s="176">
        <f>SUM(C$61:C$69)</f>
        <v>3583.5993431767301</v>
      </c>
      <c r="D60" s="176">
        <f>SUM(D$61:D$69)</f>
        <v>3568.0006062255402</v>
      </c>
      <c r="E60" s="11"/>
      <c r="F60" s="11"/>
      <c r="G60" s="11"/>
    </row>
    <row r="61" spans="1:7" ht="13" outlineLevel="4" x14ac:dyDescent="0.3">
      <c r="A61" s="175" t="s">
        <v>97</v>
      </c>
      <c r="B61" s="176">
        <v>0.48186126030999998</v>
      </c>
      <c r="C61" s="176">
        <v>0.47728799582999998</v>
      </c>
      <c r="D61" s="176">
        <v>0.47711796561000003</v>
      </c>
      <c r="E61" s="11"/>
      <c r="F61" s="11"/>
      <c r="G61" s="11"/>
    </row>
    <row r="62" spans="1:7" ht="13" outlineLevel="4" x14ac:dyDescent="0.3">
      <c r="A62" s="175" t="s">
        <v>98</v>
      </c>
      <c r="B62" s="176">
        <v>5.08672720701</v>
      </c>
      <c r="C62" s="176">
        <v>5.1293808534799998</v>
      </c>
      <c r="D62" s="176">
        <v>5.1275535505200001</v>
      </c>
      <c r="E62" s="11"/>
      <c r="F62" s="11"/>
      <c r="G62" s="11"/>
    </row>
    <row r="63" spans="1:7" ht="13" outlineLevel="4" x14ac:dyDescent="0.3">
      <c r="A63" s="175" t="s">
        <v>99</v>
      </c>
      <c r="B63" s="176">
        <v>4.2521896911699999</v>
      </c>
      <c r="C63" s="176">
        <v>4.2814483913399997</v>
      </c>
      <c r="D63" s="176">
        <v>4.2799231578799999</v>
      </c>
      <c r="E63" s="11"/>
      <c r="F63" s="11"/>
      <c r="G63" s="11"/>
    </row>
    <row r="64" spans="1:7" ht="13" outlineLevel="4" x14ac:dyDescent="0.3">
      <c r="A64" s="175" t="s">
        <v>100</v>
      </c>
      <c r="B64" s="176">
        <v>124.11142454661</v>
      </c>
      <c r="C64" s="176">
        <v>122.93350381306</v>
      </c>
      <c r="D64" s="176">
        <v>122.39023698254999</v>
      </c>
      <c r="E64" s="11"/>
      <c r="F64" s="11"/>
      <c r="G64" s="11"/>
    </row>
    <row r="65" spans="1:7" ht="13" outlineLevel="4" x14ac:dyDescent="0.3">
      <c r="A65" s="175" t="s">
        <v>101</v>
      </c>
      <c r="B65" s="176">
        <v>1850.2552231591901</v>
      </c>
      <c r="C65" s="176">
        <v>1963.2238608758501</v>
      </c>
      <c r="D65" s="176">
        <v>1962.5244772937201</v>
      </c>
      <c r="E65" s="11"/>
      <c r="F65" s="11"/>
      <c r="G65" s="11"/>
    </row>
    <row r="66" spans="1:7" ht="13" outlineLevel="4" x14ac:dyDescent="0.3">
      <c r="A66" s="175" t="s">
        <v>102</v>
      </c>
      <c r="B66" s="176">
        <v>243.40981073539001</v>
      </c>
      <c r="C66" s="176">
        <v>241.98408285849999</v>
      </c>
      <c r="D66" s="176">
        <v>240.47988203592999</v>
      </c>
      <c r="E66" s="11"/>
      <c r="F66" s="11"/>
      <c r="G66" s="11"/>
    </row>
    <row r="67" spans="1:7" ht="13" outlineLevel="4" x14ac:dyDescent="0.3">
      <c r="A67" s="175" t="s">
        <v>103</v>
      </c>
      <c r="B67" s="176">
        <v>679.98849281046</v>
      </c>
      <c r="C67" s="176">
        <v>674.35819468839998</v>
      </c>
      <c r="D67" s="176">
        <v>666.90862741633998</v>
      </c>
      <c r="E67" s="11"/>
      <c r="F67" s="11"/>
      <c r="G67" s="11"/>
    </row>
    <row r="68" spans="1:7" ht="13" outlineLevel="4" x14ac:dyDescent="0.3">
      <c r="A68" s="175" t="s">
        <v>104</v>
      </c>
      <c r="B68" s="176">
        <v>569.59844089061005</v>
      </c>
      <c r="C68" s="176">
        <v>566.55357398711999</v>
      </c>
      <c r="D68" s="176">
        <v>561.18860177733995</v>
      </c>
      <c r="E68" s="11"/>
      <c r="F68" s="11"/>
      <c r="G68" s="11"/>
    </row>
    <row r="69" spans="1:7" ht="13" outlineLevel="4" x14ac:dyDescent="0.3">
      <c r="A69" s="175" t="s">
        <v>105</v>
      </c>
      <c r="B69" s="176">
        <v>4.8006512413799998</v>
      </c>
      <c r="C69" s="176">
        <v>4.6580097131500002</v>
      </c>
      <c r="D69" s="176">
        <v>4.6241860456500001</v>
      </c>
      <c r="E69" s="11"/>
      <c r="F69" s="11"/>
      <c r="G69" s="11"/>
    </row>
    <row r="70" spans="1:7" ht="13" outlineLevel="3" x14ac:dyDescent="0.3">
      <c r="A70" s="177" t="s">
        <v>106</v>
      </c>
      <c r="B70" s="176">
        <f>SUM(B$71:B$80)</f>
        <v>320.75385386105006</v>
      </c>
      <c r="C70" s="176">
        <f>SUM(C$71:C$80)</f>
        <v>319.23548689800003</v>
      </c>
      <c r="D70" s="176">
        <f>SUM(D$71:D$80)</f>
        <v>319.28324551754002</v>
      </c>
      <c r="E70" s="11"/>
      <c r="F70" s="11"/>
      <c r="G70" s="11"/>
    </row>
    <row r="71" spans="1:7" ht="13" outlineLevel="4" x14ac:dyDescent="0.3">
      <c r="A71" s="175" t="s">
        <v>107</v>
      </c>
      <c r="B71" s="176">
        <v>1.0035949112</v>
      </c>
      <c r="C71" s="176">
        <v>0.98594205847000005</v>
      </c>
      <c r="D71" s="176">
        <v>0.99696442919999995</v>
      </c>
      <c r="E71" s="11"/>
      <c r="F71" s="11"/>
      <c r="G71" s="11"/>
    </row>
    <row r="72" spans="1:7" ht="13" outlineLevel="4" x14ac:dyDescent="0.3">
      <c r="A72" s="175" t="s">
        <v>108</v>
      </c>
      <c r="B72" s="176">
        <v>8.7853200000000005</v>
      </c>
      <c r="C72" s="176">
        <v>8.7019400000000005</v>
      </c>
      <c r="D72" s="176">
        <v>8.6988400000000006</v>
      </c>
      <c r="E72" s="11"/>
      <c r="F72" s="11"/>
      <c r="G72" s="11"/>
    </row>
    <row r="73" spans="1:7" ht="13" outlineLevel="4" x14ac:dyDescent="0.3">
      <c r="A73" s="175" t="s">
        <v>109</v>
      </c>
      <c r="B73" s="176">
        <v>213.75542670784</v>
      </c>
      <c r="C73" s="176">
        <v>212.30957784627</v>
      </c>
      <c r="D73" s="176">
        <v>211.49315567745001</v>
      </c>
      <c r="E73" s="11"/>
      <c r="F73" s="11"/>
      <c r="G73" s="11"/>
    </row>
    <row r="74" spans="1:7" ht="13" outlineLevel="4" x14ac:dyDescent="0.3">
      <c r="A74" s="175" t="s">
        <v>110</v>
      </c>
      <c r="B74" s="176">
        <v>8.7853200000000005</v>
      </c>
      <c r="C74" s="176">
        <v>8.7019400000000005</v>
      </c>
      <c r="D74" s="176">
        <v>8.6988400000000006</v>
      </c>
      <c r="E74" s="11"/>
      <c r="F74" s="11"/>
      <c r="G74" s="11"/>
    </row>
    <row r="75" spans="1:7" ht="13" outlineLevel="4" x14ac:dyDescent="0.3">
      <c r="A75" s="175" t="s">
        <v>111</v>
      </c>
      <c r="B75" s="176">
        <v>24.695561359159999</v>
      </c>
      <c r="C75" s="176">
        <v>24.461179924420001</v>
      </c>
      <c r="D75" s="176">
        <v>24.533266701790001</v>
      </c>
      <c r="E75" s="11"/>
      <c r="F75" s="11"/>
      <c r="G75" s="11"/>
    </row>
    <row r="76" spans="1:7" ht="13" outlineLevel="4" x14ac:dyDescent="0.3">
      <c r="A76" s="175" t="s">
        <v>112</v>
      </c>
      <c r="B76" s="176">
        <v>4.3628869331200004</v>
      </c>
      <c r="C76" s="176">
        <v>4.3214795043100001</v>
      </c>
      <c r="D76" s="176">
        <v>4.3199400100699998</v>
      </c>
      <c r="E76" s="11"/>
      <c r="F76" s="11"/>
      <c r="G76" s="11"/>
    </row>
    <row r="77" spans="1:7" ht="13" outlineLevel="4" x14ac:dyDescent="0.3">
      <c r="A77" s="175" t="s">
        <v>113</v>
      </c>
      <c r="B77" s="176">
        <v>4.2039</v>
      </c>
      <c r="C77" s="176">
        <v>4.1824199999999996</v>
      </c>
      <c r="D77" s="176">
        <v>4.1513999999999998</v>
      </c>
      <c r="E77" s="11"/>
      <c r="F77" s="11"/>
      <c r="G77" s="11"/>
    </row>
    <row r="78" spans="1:7" ht="13" outlineLevel="4" x14ac:dyDescent="0.3">
      <c r="A78" s="175" t="s">
        <v>114</v>
      </c>
      <c r="B78" s="176">
        <v>2.1545629019999998E-2</v>
      </c>
      <c r="C78" s="176">
        <v>2.1435540730000001E-2</v>
      </c>
      <c r="D78" s="176">
        <v>2.1276558500000001E-2</v>
      </c>
      <c r="E78" s="11"/>
      <c r="F78" s="11"/>
      <c r="G78" s="11"/>
    </row>
    <row r="79" spans="1:7" ht="13" outlineLevel="4" x14ac:dyDescent="0.3">
      <c r="A79" s="175" t="s">
        <v>115</v>
      </c>
      <c r="B79" s="176">
        <v>19.550736922790001</v>
      </c>
      <c r="C79" s="176">
        <v>19.3651841547</v>
      </c>
      <c r="D79" s="176">
        <v>19.35828545499</v>
      </c>
      <c r="E79" s="11"/>
      <c r="F79" s="11"/>
      <c r="G79" s="11"/>
    </row>
    <row r="80" spans="1:7" ht="13" outlineLevel="4" x14ac:dyDescent="0.3">
      <c r="A80" s="175" t="s">
        <v>116</v>
      </c>
      <c r="B80" s="176">
        <v>35.589561397920001</v>
      </c>
      <c r="C80" s="176">
        <v>36.1843878691</v>
      </c>
      <c r="D80" s="176">
        <v>37.011276685539997</v>
      </c>
      <c r="E80" s="11"/>
      <c r="F80" s="11"/>
      <c r="G80" s="11"/>
    </row>
    <row r="81" spans="1:7" ht="13" outlineLevel="3" x14ac:dyDescent="0.3">
      <c r="A81" s="177" t="s">
        <v>117</v>
      </c>
      <c r="B81" s="176">
        <f>SUM(B$82:B$82)</f>
        <v>25.469574498539998</v>
      </c>
      <c r="C81" s="176">
        <f>SUM(C$82:C$82)</f>
        <v>25.339436659810001</v>
      </c>
      <c r="D81" s="176">
        <f>SUM(D$82:D$82)</f>
        <v>25.151500172039999</v>
      </c>
      <c r="E81" s="11"/>
      <c r="F81" s="11"/>
      <c r="G81" s="11"/>
    </row>
    <row r="82" spans="1:7" ht="13" outlineLevel="4" x14ac:dyDescent="0.3">
      <c r="A82" s="175" t="s">
        <v>118</v>
      </c>
      <c r="B82" s="176">
        <v>25.469574498539998</v>
      </c>
      <c r="C82" s="176">
        <v>25.339436659810001</v>
      </c>
      <c r="D82" s="176">
        <v>25.151500172039999</v>
      </c>
      <c r="E82" s="11"/>
      <c r="F82" s="11"/>
      <c r="G82" s="11"/>
    </row>
    <row r="83" spans="1:7" ht="13" outlineLevel="3" x14ac:dyDescent="0.3">
      <c r="A83" s="177" t="s">
        <v>119</v>
      </c>
      <c r="B83" s="176">
        <f>SUM(B$84:B$89)</f>
        <v>62.159684084680002</v>
      </c>
      <c r="C83" s="176">
        <f>SUM(C$84:C$89)</f>
        <v>61.512879152469999</v>
      </c>
      <c r="D83" s="176">
        <f>SUM(D$84:D$89)</f>
        <v>60.24460406064</v>
      </c>
      <c r="E83" s="11"/>
      <c r="F83" s="11"/>
      <c r="G83" s="11"/>
    </row>
    <row r="84" spans="1:7" ht="13" outlineLevel="4" x14ac:dyDescent="0.3">
      <c r="A84" s="175" t="s">
        <v>120</v>
      </c>
      <c r="B84" s="176">
        <v>28.552289999999999</v>
      </c>
      <c r="C84" s="176">
        <v>28.281305</v>
      </c>
      <c r="D84" s="176">
        <v>28.271229999999999</v>
      </c>
      <c r="E84" s="11"/>
      <c r="F84" s="11"/>
      <c r="G84" s="11"/>
    </row>
    <row r="85" spans="1:7" ht="13" outlineLevel="4" x14ac:dyDescent="0.3">
      <c r="A85" s="175" t="s">
        <v>121</v>
      </c>
      <c r="B85" s="176">
        <v>2.2459319199999998E-3</v>
      </c>
      <c r="C85" s="176">
        <v>2.2246161499999998E-3</v>
      </c>
      <c r="D85" s="176">
        <v>2.2238236500000002E-3</v>
      </c>
      <c r="E85" s="11"/>
      <c r="F85" s="11"/>
      <c r="G85" s="11"/>
    </row>
    <row r="86" spans="1:7" ht="13" outlineLevel="4" x14ac:dyDescent="0.3">
      <c r="A86" s="175" t="s">
        <v>122</v>
      </c>
      <c r="B86" s="176">
        <v>0.28202475074</v>
      </c>
      <c r="C86" s="176">
        <v>0.27934810109000002</v>
      </c>
      <c r="D86" s="176">
        <v>0.27924858544999998</v>
      </c>
      <c r="E86" s="11"/>
      <c r="F86" s="11"/>
      <c r="G86" s="11"/>
    </row>
    <row r="87" spans="1:7" ht="13" outlineLevel="4" x14ac:dyDescent="0.3">
      <c r="A87" s="175" t="s">
        <v>123</v>
      </c>
      <c r="B87" s="176">
        <v>8.1087173963799994</v>
      </c>
      <c r="C87" s="176">
        <v>8.0317589183199996</v>
      </c>
      <c r="D87" s="176">
        <v>7.7506209689899999</v>
      </c>
      <c r="E87" s="11"/>
      <c r="F87" s="11"/>
      <c r="G87" s="11"/>
    </row>
    <row r="88" spans="1:7" ht="13" outlineLevel="4" x14ac:dyDescent="0.3">
      <c r="A88" s="175" t="s">
        <v>124</v>
      </c>
      <c r="B88" s="176">
        <v>18.193875010589998</v>
      </c>
      <c r="C88" s="176">
        <v>18.021199991540001</v>
      </c>
      <c r="D88" s="176">
        <v>16.967132449979999</v>
      </c>
      <c r="E88" s="11"/>
      <c r="F88" s="11"/>
      <c r="G88" s="11"/>
    </row>
    <row r="89" spans="1:7" ht="13" outlineLevel="4" x14ac:dyDescent="0.3">
      <c r="A89" s="175" t="s">
        <v>125</v>
      </c>
      <c r="B89" s="176">
        <v>7.0205309950499997</v>
      </c>
      <c r="C89" s="176">
        <v>6.8970425253699998</v>
      </c>
      <c r="D89" s="176">
        <v>6.9741482325700002</v>
      </c>
      <c r="E89" s="11"/>
      <c r="F89" s="11"/>
      <c r="G89" s="11"/>
    </row>
    <row r="90" spans="1:7" ht="13" outlineLevel="3" x14ac:dyDescent="0.3">
      <c r="A90" s="177" t="s">
        <v>126</v>
      </c>
      <c r="B90" s="176">
        <f>SUM(B$91:B$91)</f>
        <v>639.79848096628996</v>
      </c>
      <c r="C90" s="176">
        <f>SUM(C$91:C$91)</f>
        <v>636.52940430624005</v>
      </c>
      <c r="D90" s="176">
        <f>SUM(D$91:D$91)</f>
        <v>631.80841929718997</v>
      </c>
      <c r="E90" s="11"/>
      <c r="F90" s="11"/>
      <c r="G90" s="11"/>
    </row>
    <row r="91" spans="1:7" ht="13" outlineLevel="4" x14ac:dyDescent="0.3">
      <c r="A91" s="175" t="s">
        <v>134</v>
      </c>
      <c r="B91" s="176">
        <v>639.79848096628996</v>
      </c>
      <c r="C91" s="176">
        <v>636.52940430624005</v>
      </c>
      <c r="D91" s="176">
        <v>631.80841929718997</v>
      </c>
      <c r="E91" s="11"/>
      <c r="F91" s="11"/>
      <c r="G91" s="11"/>
    </row>
    <row r="92" spans="1:7" ht="13" outlineLevel="3" x14ac:dyDescent="0.3">
      <c r="A92" s="177" t="s">
        <v>135</v>
      </c>
      <c r="B92" s="176">
        <f>SUM(B$93:B$93)</f>
        <v>126.117</v>
      </c>
      <c r="C92" s="176">
        <f>SUM(C$93:C$93)</f>
        <v>125.4726</v>
      </c>
      <c r="D92" s="176">
        <f>SUM(D$93:D$93)</f>
        <v>124.542</v>
      </c>
      <c r="E92" s="11"/>
      <c r="F92" s="11"/>
      <c r="G92" s="11"/>
    </row>
    <row r="93" spans="1:7" ht="13" outlineLevel="4" x14ac:dyDescent="0.3">
      <c r="A93" s="175" t="s">
        <v>136</v>
      </c>
      <c r="B93" s="176">
        <v>126.117</v>
      </c>
      <c r="C93" s="176">
        <v>125.4726</v>
      </c>
      <c r="D93" s="176">
        <v>124.542</v>
      </c>
      <c r="E93" s="11"/>
      <c r="F93" s="11"/>
      <c r="G93" s="11"/>
    </row>
    <row r="94" spans="1:7" ht="13" outlineLevel="3" x14ac:dyDescent="0.3">
      <c r="A94" s="177" t="s">
        <v>137</v>
      </c>
      <c r="B94" s="176">
        <f>SUM(B$95:B$95)</f>
        <v>173.03822402111001</v>
      </c>
      <c r="C94" s="176">
        <f>SUM(C$95:C$95)</f>
        <v>172.11322436602001</v>
      </c>
      <c r="D94" s="176">
        <f>SUM(D$95:D$95)</f>
        <v>171.51518383453001</v>
      </c>
      <c r="E94" s="11"/>
      <c r="F94" s="11"/>
      <c r="G94" s="11"/>
    </row>
    <row r="95" spans="1:7" ht="13" outlineLevel="4" x14ac:dyDescent="0.3">
      <c r="A95" s="175" t="s">
        <v>104</v>
      </c>
      <c r="B95" s="176">
        <v>173.03822402111001</v>
      </c>
      <c r="C95" s="176">
        <v>172.11322436602001</v>
      </c>
      <c r="D95" s="176">
        <v>171.51518383453001</v>
      </c>
      <c r="E95" s="11"/>
      <c r="F95" s="11"/>
      <c r="G95" s="11"/>
    </row>
    <row r="96" spans="1:7" ht="14.5" outlineLevel="2" x14ac:dyDescent="0.35">
      <c r="A96" s="178" t="s">
        <v>2</v>
      </c>
      <c r="B96" s="179">
        <f>B$97+B$104+B$107+B$109+B$111</f>
        <v>219.15364540834997</v>
      </c>
      <c r="C96" s="179">
        <f>C$97+C$104+C$107+C$109+C$111</f>
        <v>217.54895062106999</v>
      </c>
      <c r="D96" s="179">
        <f>D$97+D$104+D$107+D$109+D$111</f>
        <v>206.18676657297999</v>
      </c>
      <c r="E96" s="11"/>
      <c r="F96" s="11"/>
      <c r="G96" s="11"/>
    </row>
    <row r="97" spans="1:7" ht="13" outlineLevel="3" x14ac:dyDescent="0.3">
      <c r="A97" s="177" t="s">
        <v>96</v>
      </c>
      <c r="B97" s="176">
        <f>SUM(B$98:B$103)</f>
        <v>136.28570344675998</v>
      </c>
      <c r="C97" s="176">
        <f>SUM(C$98:C$103)</f>
        <v>135.26543256123</v>
      </c>
      <c r="D97" s="176">
        <f>SUM(D$98:D$103)</f>
        <v>124.48637754184</v>
      </c>
      <c r="E97" s="11"/>
      <c r="F97" s="11"/>
      <c r="G97" s="11"/>
    </row>
    <row r="98" spans="1:7" ht="13" outlineLevel="4" x14ac:dyDescent="0.3">
      <c r="A98" s="175" t="s">
        <v>156</v>
      </c>
      <c r="B98" s="176">
        <v>13.17798</v>
      </c>
      <c r="C98" s="176">
        <v>13.052910000000001</v>
      </c>
      <c r="D98" s="176">
        <v>13.048260000000001</v>
      </c>
      <c r="E98" s="11"/>
      <c r="F98" s="11"/>
      <c r="G98" s="11"/>
    </row>
    <row r="99" spans="1:7" ht="13" outlineLevel="4" x14ac:dyDescent="0.3">
      <c r="A99" s="175" t="s">
        <v>99</v>
      </c>
      <c r="B99" s="176">
        <v>45.32443061531</v>
      </c>
      <c r="C99" s="176">
        <v>44.933349124220001</v>
      </c>
      <c r="D99" s="176">
        <v>39.840486723040001</v>
      </c>
      <c r="E99" s="11"/>
      <c r="F99" s="11"/>
      <c r="G99" s="11"/>
    </row>
    <row r="100" spans="1:7" ht="13" outlineLevel="4" x14ac:dyDescent="0.3">
      <c r="A100" s="175" t="s">
        <v>100</v>
      </c>
      <c r="B100" s="176">
        <v>8.0852744912300007</v>
      </c>
      <c r="C100" s="176">
        <v>7.9486382437099996</v>
      </c>
      <c r="D100" s="176">
        <v>7.9458066017300002</v>
      </c>
      <c r="E100" s="11"/>
      <c r="F100" s="11"/>
      <c r="G100" s="11"/>
    </row>
    <row r="101" spans="1:7" ht="13" outlineLevel="4" x14ac:dyDescent="0.3">
      <c r="A101" s="175" t="s">
        <v>103</v>
      </c>
      <c r="B101" s="176">
        <v>21.577228281509999</v>
      </c>
      <c r="C101" s="176">
        <v>21.46697854592</v>
      </c>
      <c r="D101" s="176">
        <v>21.307763145620001</v>
      </c>
      <c r="E101" s="11"/>
      <c r="F101" s="11"/>
      <c r="G101" s="11"/>
    </row>
    <row r="102" spans="1:7" ht="13" outlineLevel="4" x14ac:dyDescent="0.3">
      <c r="A102" s="175" t="s">
        <v>104</v>
      </c>
      <c r="B102" s="176">
        <v>48.108513283420002</v>
      </c>
      <c r="C102" s="176">
        <v>47.851342600780001</v>
      </c>
      <c r="D102" s="176">
        <v>42.331937613489998</v>
      </c>
      <c r="E102" s="11"/>
      <c r="F102" s="11"/>
      <c r="G102" s="11"/>
    </row>
    <row r="103" spans="1:7" ht="13" outlineLevel="4" x14ac:dyDescent="0.3">
      <c r="A103" s="175" t="s">
        <v>105</v>
      </c>
      <c r="B103" s="176">
        <v>1.227677529E-2</v>
      </c>
      <c r="C103" s="176">
        <v>1.22140466E-2</v>
      </c>
      <c r="D103" s="176">
        <v>1.212345796E-2</v>
      </c>
      <c r="E103" s="11"/>
      <c r="F103" s="11"/>
      <c r="G103" s="11"/>
    </row>
    <row r="104" spans="1:7" ht="13" outlineLevel="3" x14ac:dyDescent="0.3">
      <c r="A104" s="177" t="s">
        <v>157</v>
      </c>
      <c r="B104" s="176">
        <f>SUM(B$105:B$106)</f>
        <v>36.060648373310002</v>
      </c>
      <c r="C104" s="176">
        <f>SUM(C$105:C$106)</f>
        <v>35.870355513509999</v>
      </c>
      <c r="D104" s="176">
        <f>SUM(D$105:D$106)</f>
        <v>35.613954103519994</v>
      </c>
      <c r="E104" s="11"/>
      <c r="F104" s="11"/>
      <c r="G104" s="11"/>
    </row>
    <row r="105" spans="1:7" ht="13" outlineLevel="4" x14ac:dyDescent="0.3">
      <c r="A105" s="175" t="s">
        <v>158</v>
      </c>
      <c r="B105" s="176">
        <v>34.682175000000001</v>
      </c>
      <c r="C105" s="176">
        <v>34.504964999999999</v>
      </c>
      <c r="D105" s="176">
        <v>34.249049999999997</v>
      </c>
      <c r="E105" s="11"/>
      <c r="F105" s="11"/>
      <c r="G105" s="11"/>
    </row>
    <row r="106" spans="1:7" ht="13" outlineLevel="4" x14ac:dyDescent="0.3">
      <c r="A106" s="175" t="s">
        <v>111</v>
      </c>
      <c r="B106" s="176">
        <v>1.3784733733100001</v>
      </c>
      <c r="C106" s="176">
        <v>1.36539051351</v>
      </c>
      <c r="D106" s="176">
        <v>1.36490410352</v>
      </c>
      <c r="E106" s="11"/>
      <c r="F106" s="11"/>
      <c r="G106" s="11"/>
    </row>
    <row r="107" spans="1:7" ht="13" outlineLevel="3" x14ac:dyDescent="0.3">
      <c r="A107" s="177" t="s">
        <v>119</v>
      </c>
      <c r="B107" s="176">
        <f>SUM(B$108:B$108)</f>
        <v>7.6600232181100001</v>
      </c>
      <c r="C107" s="176">
        <f>SUM(C$108:C$108)</f>
        <v>7.4669709583400001</v>
      </c>
      <c r="D107" s="176">
        <f>SUM(D$108:D$108)</f>
        <v>7.4115902363900004</v>
      </c>
      <c r="E107" s="11"/>
      <c r="F107" s="11"/>
      <c r="G107" s="11"/>
    </row>
    <row r="108" spans="1:7" ht="13" outlineLevel="4" x14ac:dyDescent="0.3">
      <c r="A108" s="175" t="s">
        <v>159</v>
      </c>
      <c r="B108" s="176">
        <v>7.6600232181100001</v>
      </c>
      <c r="C108" s="176">
        <v>7.4669709583400001</v>
      </c>
      <c r="D108" s="176">
        <v>7.4115902363900004</v>
      </c>
      <c r="E108" s="11"/>
      <c r="F108" s="11"/>
      <c r="G108" s="11"/>
    </row>
    <row r="109" spans="1:7" ht="13" outlineLevel="3" x14ac:dyDescent="0.3">
      <c r="A109" s="177" t="s">
        <v>160</v>
      </c>
      <c r="B109" s="176">
        <f>SUM(B$110:B$110)</f>
        <v>34.682175000000001</v>
      </c>
      <c r="C109" s="176">
        <f>SUM(C$110:C$110)</f>
        <v>34.504964999999999</v>
      </c>
      <c r="D109" s="176">
        <f>SUM(D$110:D$110)</f>
        <v>34.249049999999997</v>
      </c>
      <c r="E109" s="11"/>
      <c r="F109" s="11"/>
      <c r="G109" s="11"/>
    </row>
    <row r="110" spans="1:7" ht="13" outlineLevel="4" x14ac:dyDescent="0.3">
      <c r="A110" s="175" t="s">
        <v>162</v>
      </c>
      <c r="B110" s="176">
        <v>34.682175000000001</v>
      </c>
      <c r="C110" s="176">
        <v>34.504964999999999</v>
      </c>
      <c r="D110" s="176">
        <v>34.249049999999997</v>
      </c>
      <c r="E110" s="11"/>
      <c r="F110" s="11"/>
      <c r="G110" s="11"/>
    </row>
    <row r="111" spans="1:7" ht="13" outlineLevel="3" x14ac:dyDescent="0.3">
      <c r="A111" s="177" t="s">
        <v>137</v>
      </c>
      <c r="B111" s="176">
        <f>SUM(B$112:B$112)</f>
        <v>4.4650953701700002</v>
      </c>
      <c r="C111" s="176">
        <f>SUM(C$112:C$112)</f>
        <v>4.4412265879900001</v>
      </c>
      <c r="D111" s="176">
        <f>SUM(D$112:D$112)</f>
        <v>4.4257946912300001</v>
      </c>
      <c r="E111" s="11"/>
      <c r="F111" s="11"/>
      <c r="G111" s="11"/>
    </row>
    <row r="112" spans="1:7" ht="13" outlineLevel="4" x14ac:dyDescent="0.3">
      <c r="A112" s="175" t="s">
        <v>104</v>
      </c>
      <c r="B112" s="176">
        <v>4.4650953701700002</v>
      </c>
      <c r="C112" s="176">
        <v>4.4412265879900001</v>
      </c>
      <c r="D112" s="176">
        <v>4.4257946912300001</v>
      </c>
      <c r="E112" s="11"/>
      <c r="F112" s="11"/>
      <c r="G112" s="11"/>
    </row>
    <row r="113" spans="2:7" x14ac:dyDescent="0.25">
      <c r="B113" s="10"/>
      <c r="C113" s="10"/>
      <c r="D113" s="10"/>
      <c r="E113" s="11"/>
      <c r="F113" s="11"/>
      <c r="G113" s="11"/>
    </row>
    <row r="114" spans="2:7" x14ac:dyDescent="0.25">
      <c r="B114" s="10"/>
      <c r="C114" s="10"/>
      <c r="D114" s="10"/>
      <c r="E114" s="11"/>
      <c r="F114" s="11"/>
      <c r="G114" s="11"/>
    </row>
    <row r="115" spans="2:7" x14ac:dyDescent="0.25">
      <c r="B115" s="10"/>
      <c r="C115" s="10"/>
      <c r="D115" s="10"/>
      <c r="E115" s="11"/>
      <c r="F115" s="11"/>
      <c r="G115" s="11"/>
    </row>
    <row r="116" spans="2:7" x14ac:dyDescent="0.25">
      <c r="B116" s="10"/>
      <c r="C116" s="10"/>
      <c r="D116" s="10"/>
      <c r="E116" s="11"/>
      <c r="F116" s="11"/>
      <c r="G116" s="11"/>
    </row>
    <row r="117" spans="2:7" x14ac:dyDescent="0.25">
      <c r="B117" s="10"/>
      <c r="C117" s="10"/>
      <c r="D117" s="10"/>
      <c r="E117" s="11"/>
      <c r="F117" s="11"/>
      <c r="G117" s="11"/>
    </row>
    <row r="118" spans="2:7" x14ac:dyDescent="0.25">
      <c r="B118" s="10"/>
      <c r="C118" s="10"/>
      <c r="D118" s="10"/>
      <c r="E118" s="11"/>
      <c r="F118" s="11"/>
      <c r="G118" s="11"/>
    </row>
    <row r="119" spans="2:7" x14ac:dyDescent="0.25">
      <c r="B119" s="10"/>
      <c r="C119" s="10"/>
      <c r="D119" s="10"/>
      <c r="E119" s="11"/>
      <c r="F119" s="11"/>
      <c r="G119" s="11"/>
    </row>
    <row r="120" spans="2:7" x14ac:dyDescent="0.25">
      <c r="B120" s="10"/>
      <c r="C120" s="10"/>
      <c r="D120" s="10"/>
      <c r="E120" s="11"/>
      <c r="F120" s="11"/>
      <c r="G120" s="11"/>
    </row>
    <row r="121" spans="2:7" x14ac:dyDescent="0.25">
      <c r="B121" s="10"/>
      <c r="C121" s="10"/>
      <c r="D121" s="10"/>
      <c r="E121" s="11"/>
      <c r="F121" s="11"/>
      <c r="G121" s="11"/>
    </row>
    <row r="122" spans="2:7" x14ac:dyDescent="0.25">
      <c r="B122" s="10"/>
      <c r="C122" s="10"/>
      <c r="D122" s="10"/>
      <c r="E122" s="11"/>
      <c r="F122" s="11"/>
      <c r="G122" s="11"/>
    </row>
    <row r="123" spans="2:7" x14ac:dyDescent="0.25">
      <c r="B123" s="10"/>
      <c r="C123" s="10"/>
      <c r="D123" s="10"/>
      <c r="E123" s="11"/>
      <c r="F123" s="11"/>
      <c r="G123" s="11"/>
    </row>
    <row r="124" spans="2:7" x14ac:dyDescent="0.25">
      <c r="B124" s="10"/>
      <c r="C124" s="10"/>
      <c r="D124" s="10"/>
      <c r="E124" s="11"/>
      <c r="F124" s="11"/>
      <c r="G124" s="11"/>
    </row>
    <row r="125" spans="2:7" x14ac:dyDescent="0.25">
      <c r="B125" s="10"/>
      <c r="C125" s="10"/>
      <c r="D125" s="10"/>
      <c r="E125" s="11"/>
      <c r="F125" s="11"/>
      <c r="G125" s="11"/>
    </row>
    <row r="126" spans="2:7" x14ac:dyDescent="0.25">
      <c r="B126" s="10"/>
      <c r="C126" s="10"/>
      <c r="D126" s="10"/>
      <c r="E126" s="11"/>
      <c r="F126" s="11"/>
      <c r="G126" s="11"/>
    </row>
    <row r="127" spans="2:7" x14ac:dyDescent="0.25">
      <c r="B127" s="10"/>
      <c r="C127" s="10"/>
      <c r="D127" s="10"/>
      <c r="E127" s="11"/>
      <c r="F127" s="11"/>
      <c r="G127" s="11"/>
    </row>
    <row r="128" spans="2:7" x14ac:dyDescent="0.25">
      <c r="B128" s="10"/>
      <c r="C128" s="10"/>
      <c r="D128" s="10"/>
      <c r="E128" s="11"/>
      <c r="F128" s="11"/>
      <c r="G128" s="11"/>
    </row>
    <row r="129" spans="2:7" x14ac:dyDescent="0.25">
      <c r="B129" s="10"/>
      <c r="C129" s="10"/>
      <c r="D129" s="10"/>
      <c r="E129" s="11"/>
      <c r="F129" s="11"/>
      <c r="G129" s="11"/>
    </row>
    <row r="130" spans="2:7" x14ac:dyDescent="0.25">
      <c r="B130" s="10"/>
      <c r="C130" s="10"/>
      <c r="D130" s="10"/>
      <c r="E130" s="11"/>
      <c r="F130" s="11"/>
      <c r="G130" s="11"/>
    </row>
    <row r="131" spans="2:7" x14ac:dyDescent="0.25">
      <c r="B131" s="10"/>
      <c r="C131" s="10"/>
      <c r="D131" s="10"/>
      <c r="E131" s="11"/>
      <c r="F131" s="11"/>
      <c r="G131" s="11"/>
    </row>
    <row r="132" spans="2:7" x14ac:dyDescent="0.25">
      <c r="B132" s="10"/>
      <c r="C132" s="10"/>
      <c r="D132" s="10"/>
      <c r="E132" s="11"/>
      <c r="F132" s="11"/>
      <c r="G132" s="11"/>
    </row>
    <row r="133" spans="2:7" x14ac:dyDescent="0.25">
      <c r="B133" s="10"/>
      <c r="C133" s="10"/>
      <c r="D133" s="10"/>
      <c r="E133" s="11"/>
      <c r="F133" s="11"/>
      <c r="G133" s="11"/>
    </row>
    <row r="134" spans="2:7" x14ac:dyDescent="0.25">
      <c r="B134" s="10"/>
      <c r="C134" s="10"/>
      <c r="D134" s="10"/>
      <c r="E134" s="11"/>
      <c r="F134" s="11"/>
      <c r="G134" s="11"/>
    </row>
    <row r="135" spans="2:7" x14ac:dyDescent="0.25">
      <c r="B135" s="10"/>
      <c r="C135" s="10"/>
      <c r="D135" s="10"/>
      <c r="E135" s="11"/>
      <c r="F135" s="11"/>
      <c r="G135" s="11"/>
    </row>
    <row r="136" spans="2:7" x14ac:dyDescent="0.25">
      <c r="B136" s="10"/>
      <c r="C136" s="10"/>
      <c r="D136" s="10"/>
      <c r="E136" s="11"/>
      <c r="F136" s="11"/>
      <c r="G136" s="11"/>
    </row>
    <row r="137" spans="2:7" x14ac:dyDescent="0.25">
      <c r="B137" s="10"/>
      <c r="C137" s="10"/>
      <c r="D137" s="10"/>
      <c r="E137" s="11"/>
      <c r="F137" s="11"/>
      <c r="G137" s="11"/>
    </row>
    <row r="138" spans="2:7" x14ac:dyDescent="0.25">
      <c r="B138" s="10"/>
      <c r="C138" s="10"/>
      <c r="D138" s="10"/>
      <c r="E138" s="11"/>
      <c r="F138" s="11"/>
      <c r="G138" s="11"/>
    </row>
    <row r="139" spans="2:7" x14ac:dyDescent="0.25">
      <c r="B139" s="10"/>
      <c r="C139" s="10"/>
      <c r="D139" s="10"/>
      <c r="E139" s="11"/>
      <c r="F139" s="11"/>
      <c r="G139" s="11"/>
    </row>
    <row r="140" spans="2:7" x14ac:dyDescent="0.25">
      <c r="B140" s="10"/>
      <c r="C140" s="10"/>
      <c r="D140" s="10"/>
      <c r="E140" s="11"/>
      <c r="F140" s="11"/>
      <c r="G140" s="11"/>
    </row>
    <row r="141" spans="2:7" x14ac:dyDescent="0.25">
      <c r="B141" s="10"/>
      <c r="C141" s="10"/>
      <c r="D141" s="10"/>
      <c r="E141" s="11"/>
      <c r="F141" s="11"/>
      <c r="G141" s="11"/>
    </row>
    <row r="142" spans="2:7" x14ac:dyDescent="0.25">
      <c r="B142" s="10"/>
      <c r="C142" s="10"/>
      <c r="D142" s="10"/>
      <c r="E142" s="11"/>
      <c r="F142" s="11"/>
      <c r="G142" s="11"/>
    </row>
    <row r="143" spans="2:7" x14ac:dyDescent="0.25">
      <c r="B143" s="10"/>
      <c r="C143" s="10"/>
      <c r="D143" s="10"/>
      <c r="E143" s="11"/>
      <c r="F143" s="11"/>
      <c r="G143" s="11"/>
    </row>
    <row r="144" spans="2:7" x14ac:dyDescent="0.25">
      <c r="B144" s="10"/>
      <c r="C144" s="10"/>
      <c r="D144" s="10"/>
      <c r="E144" s="11"/>
      <c r="F144" s="11"/>
      <c r="G144" s="11"/>
    </row>
    <row r="145" spans="2:7" x14ac:dyDescent="0.25">
      <c r="B145" s="10"/>
      <c r="C145" s="10"/>
      <c r="D145" s="10"/>
      <c r="E145" s="11"/>
      <c r="F145" s="11"/>
      <c r="G145" s="11"/>
    </row>
    <row r="146" spans="2:7" x14ac:dyDescent="0.25">
      <c r="B146" s="10"/>
      <c r="C146" s="10"/>
      <c r="D146" s="10"/>
      <c r="E146" s="11"/>
      <c r="F146" s="11"/>
      <c r="G146" s="11"/>
    </row>
    <row r="147" spans="2:7" x14ac:dyDescent="0.25">
      <c r="B147" s="10"/>
      <c r="C147" s="10"/>
      <c r="D147" s="10"/>
      <c r="E147" s="11"/>
      <c r="F147" s="11"/>
      <c r="G147" s="11"/>
    </row>
    <row r="148" spans="2:7" x14ac:dyDescent="0.25">
      <c r="B148" s="10"/>
      <c r="C148" s="10"/>
      <c r="D148" s="10"/>
      <c r="E148" s="11"/>
      <c r="F148" s="11"/>
      <c r="G148" s="11"/>
    </row>
    <row r="149" spans="2:7" x14ac:dyDescent="0.25">
      <c r="B149" s="10"/>
      <c r="C149" s="10"/>
      <c r="D149" s="10"/>
      <c r="E149" s="11"/>
      <c r="F149" s="11"/>
      <c r="G149" s="11"/>
    </row>
    <row r="150" spans="2:7" x14ac:dyDescent="0.25">
      <c r="B150" s="10"/>
      <c r="C150" s="10"/>
      <c r="D150" s="10"/>
      <c r="E150" s="11"/>
      <c r="F150" s="11"/>
      <c r="G150" s="11"/>
    </row>
    <row r="151" spans="2:7" x14ac:dyDescent="0.25">
      <c r="B151" s="10"/>
      <c r="C151" s="10"/>
      <c r="D151" s="10"/>
      <c r="E151" s="11"/>
      <c r="F151" s="11"/>
      <c r="G151" s="11"/>
    </row>
    <row r="152" spans="2:7" x14ac:dyDescent="0.25">
      <c r="B152" s="10"/>
      <c r="C152" s="10"/>
      <c r="D152" s="10"/>
      <c r="E152" s="11"/>
      <c r="F152" s="11"/>
      <c r="G152" s="11"/>
    </row>
    <row r="153" spans="2:7" x14ac:dyDescent="0.25">
      <c r="B153" s="10"/>
      <c r="C153" s="10"/>
      <c r="D153" s="10"/>
      <c r="E153" s="11"/>
      <c r="F153" s="11"/>
      <c r="G153" s="11"/>
    </row>
    <row r="154" spans="2:7" x14ac:dyDescent="0.25">
      <c r="B154" s="10"/>
      <c r="C154" s="10"/>
      <c r="D154" s="10"/>
      <c r="E154" s="11"/>
      <c r="F154" s="11"/>
      <c r="G154" s="11"/>
    </row>
    <row r="155" spans="2:7" x14ac:dyDescent="0.25">
      <c r="B155" s="10"/>
      <c r="C155" s="10"/>
      <c r="D155" s="10"/>
      <c r="E155" s="11"/>
      <c r="F155" s="11"/>
      <c r="G155" s="11"/>
    </row>
    <row r="156" spans="2:7" x14ac:dyDescent="0.25">
      <c r="B156" s="10"/>
      <c r="C156" s="10"/>
      <c r="D156" s="10"/>
      <c r="E156" s="11"/>
      <c r="F156" s="11"/>
      <c r="G156" s="11"/>
    </row>
    <row r="157" spans="2:7" x14ac:dyDescent="0.25">
      <c r="B157" s="10"/>
      <c r="C157" s="10"/>
      <c r="D157" s="10"/>
      <c r="E157" s="11"/>
      <c r="F157" s="11"/>
      <c r="G157" s="11"/>
    </row>
    <row r="158" spans="2:7" x14ac:dyDescent="0.25">
      <c r="B158" s="10"/>
      <c r="C158" s="10"/>
      <c r="D158" s="10"/>
      <c r="E158" s="11"/>
      <c r="F158" s="11"/>
      <c r="G158" s="11"/>
    </row>
    <row r="159" spans="2:7" x14ac:dyDescent="0.25">
      <c r="B159" s="10"/>
      <c r="C159" s="10"/>
      <c r="D159" s="10"/>
      <c r="E159" s="11"/>
      <c r="F159" s="11"/>
      <c r="G159" s="11"/>
    </row>
    <row r="160" spans="2:7" x14ac:dyDescent="0.25">
      <c r="B160" s="10"/>
      <c r="C160" s="10"/>
      <c r="D160" s="10"/>
      <c r="E160" s="11"/>
      <c r="F160" s="11"/>
      <c r="G160" s="11"/>
    </row>
    <row r="161" spans="2:7" x14ac:dyDescent="0.25">
      <c r="B161" s="10"/>
      <c r="C161" s="10"/>
      <c r="D161" s="10"/>
      <c r="E161" s="11"/>
      <c r="F161" s="11"/>
      <c r="G161" s="11"/>
    </row>
    <row r="162" spans="2:7" x14ac:dyDescent="0.25">
      <c r="B162" s="10"/>
      <c r="C162" s="10"/>
      <c r="D162" s="10"/>
      <c r="E162" s="11"/>
      <c r="F162" s="11"/>
      <c r="G162" s="11"/>
    </row>
    <row r="163" spans="2:7" x14ac:dyDescent="0.25">
      <c r="B163" s="10"/>
      <c r="C163" s="10"/>
      <c r="D163" s="10"/>
      <c r="E163" s="11"/>
      <c r="F163" s="11"/>
      <c r="G163" s="11"/>
    </row>
    <row r="164" spans="2:7" x14ac:dyDescent="0.25">
      <c r="B164" s="10"/>
      <c r="C164" s="10"/>
      <c r="D164" s="10"/>
      <c r="E164" s="11"/>
      <c r="F164" s="11"/>
      <c r="G164" s="11"/>
    </row>
    <row r="165" spans="2:7" x14ac:dyDescent="0.25">
      <c r="B165" s="10"/>
      <c r="C165" s="10"/>
      <c r="D165" s="10"/>
      <c r="E165" s="11"/>
      <c r="F165" s="11"/>
      <c r="G165" s="11"/>
    </row>
    <row r="166" spans="2:7" x14ac:dyDescent="0.25">
      <c r="B166" s="10"/>
      <c r="C166" s="10"/>
      <c r="D166" s="10"/>
      <c r="E166" s="11"/>
      <c r="F166" s="11"/>
      <c r="G166" s="11"/>
    </row>
    <row r="167" spans="2:7" x14ac:dyDescent="0.25">
      <c r="B167" s="10"/>
      <c r="C167" s="10"/>
      <c r="D167" s="10"/>
      <c r="E167" s="11"/>
      <c r="F167" s="11"/>
      <c r="G167" s="11"/>
    </row>
    <row r="168" spans="2:7" x14ac:dyDescent="0.25">
      <c r="B168" s="10"/>
      <c r="C168" s="10"/>
      <c r="D168" s="10"/>
      <c r="E168" s="11"/>
      <c r="F168" s="11"/>
      <c r="G168" s="11"/>
    </row>
    <row r="169" spans="2:7" x14ac:dyDescent="0.25">
      <c r="B169" s="10"/>
      <c r="C169" s="10"/>
      <c r="D169" s="10"/>
      <c r="E169" s="11"/>
      <c r="F169" s="11"/>
      <c r="G169" s="11"/>
    </row>
    <row r="170" spans="2:7" x14ac:dyDescent="0.25">
      <c r="B170" s="10"/>
      <c r="C170" s="10"/>
      <c r="D170" s="10"/>
      <c r="E170" s="11"/>
      <c r="F170" s="11"/>
      <c r="G170" s="11"/>
    </row>
    <row r="171" spans="2:7" x14ac:dyDescent="0.25">
      <c r="B171" s="10"/>
      <c r="C171" s="10"/>
      <c r="D171" s="10"/>
      <c r="E171" s="11"/>
      <c r="F171" s="11"/>
      <c r="G171" s="11"/>
    </row>
    <row r="172" spans="2:7" x14ac:dyDescent="0.25">
      <c r="B172" s="10"/>
      <c r="C172" s="10"/>
      <c r="D172" s="10"/>
      <c r="E172" s="11"/>
      <c r="F172" s="11"/>
      <c r="G172" s="11"/>
    </row>
    <row r="173" spans="2:7" x14ac:dyDescent="0.25">
      <c r="B173" s="10"/>
      <c r="C173" s="10"/>
      <c r="D173" s="10"/>
      <c r="E173" s="11"/>
      <c r="F173" s="11"/>
      <c r="G173" s="11"/>
    </row>
    <row r="174" spans="2:7" x14ac:dyDescent="0.25">
      <c r="B174" s="10"/>
      <c r="C174" s="10"/>
      <c r="D174" s="10"/>
      <c r="E174" s="11"/>
      <c r="F174" s="11"/>
      <c r="G174" s="11"/>
    </row>
    <row r="175" spans="2:7" x14ac:dyDescent="0.25">
      <c r="B175" s="10"/>
      <c r="C175" s="10"/>
      <c r="D175" s="10"/>
      <c r="E175" s="11"/>
      <c r="F175" s="11"/>
      <c r="G175" s="11"/>
    </row>
    <row r="176" spans="2:7" x14ac:dyDescent="0.25">
      <c r="B176" s="10"/>
      <c r="C176" s="10"/>
      <c r="D176" s="10"/>
      <c r="E176" s="11"/>
      <c r="F176" s="11"/>
      <c r="G176" s="11"/>
    </row>
    <row r="177" spans="2:7" x14ac:dyDescent="0.25">
      <c r="B177" s="10"/>
      <c r="C177" s="10"/>
      <c r="D177" s="10"/>
      <c r="E177" s="11"/>
      <c r="F177" s="11"/>
      <c r="G177" s="11"/>
    </row>
    <row r="178" spans="2:7" x14ac:dyDescent="0.25">
      <c r="B178" s="10"/>
      <c r="C178" s="10"/>
      <c r="D178" s="10"/>
      <c r="E178" s="11"/>
      <c r="F178" s="11"/>
      <c r="G178" s="11"/>
    </row>
    <row r="179" spans="2:7" x14ac:dyDescent="0.25">
      <c r="B179" s="10"/>
      <c r="C179" s="10"/>
      <c r="D179" s="10"/>
      <c r="E179" s="11"/>
      <c r="F179" s="11"/>
      <c r="G179" s="11"/>
    </row>
    <row r="180" spans="2:7" x14ac:dyDescent="0.25">
      <c r="B180" s="10"/>
      <c r="C180" s="10"/>
      <c r="D180" s="10"/>
      <c r="E180" s="11"/>
      <c r="F180" s="11"/>
      <c r="G180" s="11"/>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2" bestFit="1" customWidth="1"/>
    <col min="2" max="2" width="18" style="23" customWidth="1"/>
    <col min="3" max="3" width="17.4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28.02.2025</v>
      </c>
      <c r="B2" s="280"/>
      <c r="C2" s="280"/>
      <c r="D2" s="280"/>
      <c r="E2" s="26"/>
      <c r="F2" s="26"/>
      <c r="G2" s="26"/>
      <c r="H2" s="26"/>
      <c r="I2" s="26"/>
      <c r="J2" s="26"/>
      <c r="K2" s="26"/>
      <c r="L2" s="26"/>
      <c r="M2" s="26"/>
      <c r="N2" s="26"/>
      <c r="O2" s="26"/>
      <c r="P2" s="26"/>
      <c r="Q2" s="26"/>
      <c r="R2" s="26"/>
      <c r="S2" s="26"/>
    </row>
    <row r="3" spans="1:19" ht="18.5" x14ac:dyDescent="0.45">
      <c r="A3" s="282" t="str">
        <f>IF(REPORT_LANG="UKR","(за видами відсоткових ставок)","by interest rate types")</f>
        <v>(за видами відсоткових ставок)</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70" customFormat="1" x14ac:dyDescent="0.3">
      <c r="A6" s="12"/>
      <c r="B6" s="143" t="str">
        <f>IF(REPORT_LANG="UKR","дол.США","USD")</f>
        <v>дол.США</v>
      </c>
      <c r="C6" s="143" t="str">
        <f>IF(REPORT_LANG="UKR","грн.","UAH")</f>
        <v>грн.</v>
      </c>
      <c r="D6" s="69" t="s">
        <v>0</v>
      </c>
      <c r="E6" s="14"/>
      <c r="F6" s="14"/>
      <c r="G6" s="14"/>
      <c r="H6" s="14"/>
      <c r="I6" s="14"/>
      <c r="J6" s="14"/>
      <c r="K6" s="14"/>
      <c r="L6" s="14"/>
      <c r="M6" s="14"/>
      <c r="N6" s="14"/>
      <c r="O6" s="14"/>
      <c r="P6" s="14"/>
      <c r="Q6" s="14"/>
      <c r="R6" s="14"/>
      <c r="S6" s="14"/>
    </row>
    <row r="7" spans="1:19" s="135" customFormat="1" ht="15.5" x14ac:dyDescent="0.3">
      <c r="A7" s="142"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119">
        <f>SUM(B8:B19)</f>
        <v>169.08837600780001</v>
      </c>
      <c r="C7" s="119">
        <f>SUM(C8:C19)</f>
        <v>7019.5348415889603</v>
      </c>
      <c r="D7" s="120">
        <f>SUM(D8:D19)</f>
        <v>1</v>
      </c>
    </row>
    <row r="8" spans="1:19" s="71" customFormat="1" outlineLevel="1" x14ac:dyDescent="0.3">
      <c r="A8" s="163" t="s">
        <v>178</v>
      </c>
      <c r="B8" s="161">
        <v>6.1938968174599998</v>
      </c>
      <c r="C8" s="161">
        <v>257.13343248141001</v>
      </c>
      <c r="D8" s="164">
        <v>3.6630999999999997E-2</v>
      </c>
    </row>
    <row r="9" spans="1:19" s="71" customFormat="1" outlineLevel="1" x14ac:dyDescent="0.3">
      <c r="A9" s="163" t="s">
        <v>179</v>
      </c>
      <c r="B9" s="161">
        <v>20.91427897438</v>
      </c>
      <c r="C9" s="161">
        <v>868.23537734232002</v>
      </c>
      <c r="D9" s="164">
        <v>0.12368800000000001</v>
      </c>
    </row>
    <row r="10" spans="1:19" s="71" customFormat="1" outlineLevel="1" x14ac:dyDescent="0.3">
      <c r="A10" s="163" t="s">
        <v>180</v>
      </c>
      <c r="B10" s="161">
        <v>0.16799509160000001</v>
      </c>
      <c r="C10" s="161">
        <v>6.9741482325700002</v>
      </c>
      <c r="D10" s="164">
        <v>9.9400000000000009E-4</v>
      </c>
    </row>
    <row r="11" spans="1:19" outlineLevel="1" x14ac:dyDescent="0.3">
      <c r="A11" s="241" t="s">
        <v>181</v>
      </c>
      <c r="B11" s="176">
        <v>0.23008456777</v>
      </c>
      <c r="C11" s="176">
        <v>9.5517307466099997</v>
      </c>
      <c r="D11" s="198">
        <v>1.361E-3</v>
      </c>
      <c r="E11" s="26"/>
      <c r="F11" s="26"/>
      <c r="G11" s="26"/>
      <c r="H11" s="26"/>
      <c r="I11" s="26"/>
      <c r="J11" s="26"/>
      <c r="K11" s="26"/>
      <c r="L11" s="26"/>
      <c r="M11" s="26"/>
      <c r="N11" s="26"/>
      <c r="O11" s="26"/>
      <c r="P11" s="26"/>
      <c r="Q11" s="26"/>
    </row>
    <row r="12" spans="1:19" outlineLevel="1" x14ac:dyDescent="0.3">
      <c r="A12" s="241" t="s">
        <v>182</v>
      </c>
      <c r="B12" s="176">
        <v>3.4969633136499998</v>
      </c>
      <c r="C12" s="176">
        <v>145.172935</v>
      </c>
      <c r="D12" s="198">
        <v>2.0681000000000001E-2</v>
      </c>
      <c r="E12" s="26"/>
      <c r="F12" s="26"/>
      <c r="G12" s="26"/>
      <c r="H12" s="26"/>
      <c r="I12" s="26"/>
      <c r="J12" s="26"/>
      <c r="K12" s="26"/>
      <c r="L12" s="26"/>
      <c r="M12" s="26"/>
      <c r="N12" s="26"/>
      <c r="O12" s="26"/>
      <c r="P12" s="26"/>
      <c r="Q12" s="26"/>
    </row>
    <row r="13" spans="1:19" outlineLevel="1" x14ac:dyDescent="0.3">
      <c r="A13" s="241" t="s">
        <v>183</v>
      </c>
      <c r="B13" s="176">
        <v>7.0058572305700002</v>
      </c>
      <c r="C13" s="176">
        <v>290.8411570687</v>
      </c>
      <c r="D13" s="198">
        <v>4.1432999999999998E-2</v>
      </c>
      <c r="E13" s="26"/>
      <c r="F13" s="26"/>
      <c r="G13" s="26"/>
      <c r="H13" s="26"/>
      <c r="I13" s="26"/>
      <c r="J13" s="26"/>
      <c r="K13" s="26"/>
      <c r="L13" s="26"/>
      <c r="M13" s="26"/>
      <c r="N13" s="26"/>
      <c r="O13" s="26"/>
      <c r="P13" s="26"/>
      <c r="Q13" s="26"/>
    </row>
    <row r="14" spans="1:19" outlineLevel="1" x14ac:dyDescent="0.3">
      <c r="A14" s="241" t="s">
        <v>184</v>
      </c>
      <c r="B14" s="176">
        <v>18.775871222140001</v>
      </c>
      <c r="C14" s="176">
        <v>779.46151791658997</v>
      </c>
      <c r="D14" s="198">
        <v>0.111042</v>
      </c>
      <c r="E14" s="26"/>
      <c r="F14" s="26"/>
      <c r="G14" s="26"/>
      <c r="H14" s="26"/>
      <c r="I14" s="26"/>
      <c r="J14" s="26"/>
      <c r="K14" s="26"/>
      <c r="L14" s="26"/>
      <c r="M14" s="26"/>
      <c r="N14" s="26"/>
      <c r="O14" s="26"/>
      <c r="P14" s="26"/>
      <c r="Q14" s="26"/>
    </row>
    <row r="15" spans="1:19" outlineLevel="1" x14ac:dyDescent="0.3">
      <c r="A15" s="241" t="s">
        <v>185</v>
      </c>
      <c r="B15" s="176">
        <v>0.56124965926000003</v>
      </c>
      <c r="C15" s="176">
        <v>23.299718354189999</v>
      </c>
      <c r="D15" s="198">
        <v>3.3189999999999999E-3</v>
      </c>
      <c r="E15" s="26"/>
      <c r="F15" s="26"/>
      <c r="G15" s="26"/>
      <c r="H15" s="26"/>
      <c r="I15" s="26"/>
      <c r="J15" s="26"/>
      <c r="K15" s="26"/>
      <c r="L15" s="26"/>
      <c r="M15" s="26"/>
      <c r="N15" s="26"/>
      <c r="O15" s="26"/>
      <c r="P15" s="26"/>
      <c r="Q15" s="26"/>
    </row>
    <row r="16" spans="1:19" outlineLevel="1" x14ac:dyDescent="0.3">
      <c r="A16" s="241" t="s">
        <v>186</v>
      </c>
      <c r="B16" s="176">
        <v>111.74217913097</v>
      </c>
      <c r="C16" s="176">
        <v>4638.8648244465703</v>
      </c>
      <c r="D16" s="198">
        <v>0.66085099999999997</v>
      </c>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2" bestFit="1" customWidth="1"/>
    <col min="2" max="2" width="17.7265625" style="23" customWidth="1"/>
    <col min="3" max="3" width="17.81640625" style="23" customWidth="1"/>
    <col min="4" max="4" width="11.453125" style="72" bestFit="1" customWidth="1"/>
    <col min="5" max="5" width="9.1796875" style="22" customWidth="1"/>
    <col min="6" max="16384" width="9.1796875" style="22"/>
  </cols>
  <sheetData>
    <row r="2" spans="1:19" ht="37.5" customHeight="1" x14ac:dyDescent="0.45">
      <c r="A2" s="279" t="str">
        <f>DEBT_AS_OF_DATE</f>
        <v>Державний та гарантований державою борг України
станом на 28.02.2025</v>
      </c>
      <c r="B2" s="280"/>
      <c r="C2" s="280"/>
      <c r="D2" s="280"/>
      <c r="E2" s="26"/>
      <c r="F2" s="26"/>
      <c r="G2" s="26"/>
      <c r="H2" s="26"/>
      <c r="I2" s="26"/>
      <c r="J2" s="26"/>
      <c r="K2" s="26"/>
      <c r="L2" s="26"/>
      <c r="M2" s="26"/>
      <c r="N2" s="26"/>
      <c r="O2" s="26"/>
      <c r="P2" s="26"/>
      <c r="Q2" s="26"/>
      <c r="R2" s="26"/>
      <c r="S2" s="26"/>
    </row>
    <row r="3" spans="1:19" ht="18.5" x14ac:dyDescent="0.45">
      <c r="A3" s="282" t="str">
        <f>BY_INTEREST_RATE</f>
        <v>(за видами відсоткових ставок)</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A5" s="73"/>
      <c r="B5" s="28"/>
      <c r="C5" s="28"/>
      <c r="D5" s="27" t="str">
        <f>VALVAL</f>
        <v>млрд. одиниць</v>
      </c>
    </row>
    <row r="6" spans="1:19" s="14" customFormat="1" x14ac:dyDescent="0.25">
      <c r="A6" s="74"/>
      <c r="B6" s="68" t="str">
        <f>USD</f>
        <v>дол.США</v>
      </c>
      <c r="C6" s="68" t="str">
        <f>UAH</f>
        <v>грн.</v>
      </c>
      <c r="D6" s="69" t="s">
        <v>0</v>
      </c>
    </row>
    <row r="7" spans="1:19" s="130" customFormat="1" ht="15.5" x14ac:dyDescent="0.25">
      <c r="A7" s="142" t="str">
        <f>DEBT_TOTAL</f>
        <v>Загальна сума державного та гарантованого державою боргу</v>
      </c>
      <c r="B7" s="119">
        <f>SUM(B8:B18)</f>
        <v>169.08837600780001</v>
      </c>
      <c r="C7" s="119">
        <f>SUM(C8:C18)</f>
        <v>7019.5348415889603</v>
      </c>
      <c r="D7" s="120">
        <f>SUM(D8:D18)</f>
        <v>1</v>
      </c>
    </row>
    <row r="8" spans="1:19" s="38" customFormat="1" outlineLevel="1" x14ac:dyDescent="0.25">
      <c r="A8" s="160" t="s">
        <v>178</v>
      </c>
      <c r="B8" s="166">
        <v>6.1938968174599998</v>
      </c>
      <c r="C8" s="166">
        <v>257.13343248141001</v>
      </c>
      <c r="D8" s="230">
        <v>3.6630999999999997E-2</v>
      </c>
    </row>
    <row r="9" spans="1:19" s="38" customFormat="1" outlineLevel="1" x14ac:dyDescent="0.25">
      <c r="A9" s="160" t="s">
        <v>179</v>
      </c>
      <c r="B9" s="166">
        <v>20.91427897438</v>
      </c>
      <c r="C9" s="166">
        <v>868.23537734232002</v>
      </c>
      <c r="D9" s="230">
        <v>0.12368800000000001</v>
      </c>
    </row>
    <row r="10" spans="1:19" s="38" customFormat="1" outlineLevel="1" x14ac:dyDescent="0.25">
      <c r="A10" s="160" t="s">
        <v>180</v>
      </c>
      <c r="B10" s="166">
        <v>0.16799509160000001</v>
      </c>
      <c r="C10" s="166">
        <v>6.9741482325700002</v>
      </c>
      <c r="D10" s="230">
        <v>9.9400000000000009E-4</v>
      </c>
    </row>
    <row r="11" spans="1:19" outlineLevel="1" x14ac:dyDescent="0.3">
      <c r="A11" s="246" t="s">
        <v>181</v>
      </c>
      <c r="B11" s="176">
        <v>0.23008456777</v>
      </c>
      <c r="C11" s="176">
        <v>9.5517307466099997</v>
      </c>
      <c r="D11" s="198">
        <v>1.361E-3</v>
      </c>
      <c r="E11" s="26"/>
      <c r="F11" s="26"/>
      <c r="G11" s="26"/>
      <c r="H11" s="26"/>
      <c r="I11" s="26"/>
      <c r="J11" s="26"/>
      <c r="K11" s="26"/>
      <c r="L11" s="26"/>
      <c r="M11" s="26"/>
      <c r="N11" s="26"/>
      <c r="O11" s="26"/>
      <c r="P11" s="26"/>
      <c r="Q11" s="26"/>
    </row>
    <row r="12" spans="1:19" outlineLevel="1" x14ac:dyDescent="0.3">
      <c r="A12" s="246" t="s">
        <v>182</v>
      </c>
      <c r="B12" s="176">
        <v>3.4969633136499998</v>
      </c>
      <c r="C12" s="176">
        <v>145.172935</v>
      </c>
      <c r="D12" s="198">
        <v>2.0681000000000001E-2</v>
      </c>
      <c r="E12" s="26"/>
      <c r="F12" s="26"/>
      <c r="G12" s="26"/>
      <c r="H12" s="26"/>
      <c r="I12" s="26"/>
      <c r="J12" s="26"/>
      <c r="K12" s="26"/>
      <c r="L12" s="26"/>
      <c r="M12" s="26"/>
      <c r="N12" s="26"/>
      <c r="O12" s="26"/>
      <c r="P12" s="26"/>
      <c r="Q12" s="26"/>
    </row>
    <row r="13" spans="1:19" outlineLevel="1" x14ac:dyDescent="0.3">
      <c r="A13" s="246" t="s">
        <v>183</v>
      </c>
      <c r="B13" s="176">
        <v>7.0058572305700002</v>
      </c>
      <c r="C13" s="176">
        <v>290.8411570687</v>
      </c>
      <c r="D13" s="198">
        <v>4.1432999999999998E-2</v>
      </c>
      <c r="E13" s="26"/>
      <c r="F13" s="26"/>
      <c r="G13" s="26"/>
      <c r="H13" s="26"/>
      <c r="I13" s="26"/>
      <c r="J13" s="26"/>
      <c r="K13" s="26"/>
      <c r="L13" s="26"/>
      <c r="M13" s="26"/>
      <c r="N13" s="26"/>
      <c r="O13" s="26"/>
      <c r="P13" s="26"/>
      <c r="Q13" s="26"/>
    </row>
    <row r="14" spans="1:19" outlineLevel="1" x14ac:dyDescent="0.3">
      <c r="A14" s="246" t="s">
        <v>184</v>
      </c>
      <c r="B14" s="176">
        <v>18.775871222140001</v>
      </c>
      <c r="C14" s="176">
        <v>779.46151791658997</v>
      </c>
      <c r="D14" s="198">
        <v>0.111042</v>
      </c>
      <c r="E14" s="26"/>
      <c r="F14" s="26"/>
      <c r="G14" s="26"/>
      <c r="H14" s="26"/>
      <c r="I14" s="26"/>
      <c r="J14" s="26"/>
      <c r="K14" s="26"/>
      <c r="L14" s="26"/>
      <c r="M14" s="26"/>
      <c r="N14" s="26"/>
      <c r="O14" s="26"/>
      <c r="P14" s="26"/>
      <c r="Q14" s="26"/>
    </row>
    <row r="15" spans="1:19" outlineLevel="1" x14ac:dyDescent="0.3">
      <c r="A15" s="246" t="s">
        <v>185</v>
      </c>
      <c r="B15" s="176">
        <v>0.56124965926000003</v>
      </c>
      <c r="C15" s="176">
        <v>23.299718354189999</v>
      </c>
      <c r="D15" s="198">
        <v>3.3189999999999999E-3</v>
      </c>
      <c r="E15" s="26"/>
      <c r="F15" s="26"/>
      <c r="G15" s="26"/>
      <c r="H15" s="26"/>
      <c r="I15" s="26"/>
      <c r="J15" s="26"/>
      <c r="K15" s="26"/>
      <c r="L15" s="26"/>
      <c r="M15" s="26"/>
      <c r="N15" s="26"/>
      <c r="O15" s="26"/>
      <c r="P15" s="26"/>
      <c r="Q15" s="26"/>
    </row>
    <row r="16" spans="1:19" outlineLevel="1" x14ac:dyDescent="0.3">
      <c r="A16" s="246" t="s">
        <v>186</v>
      </c>
      <c r="B16" s="176">
        <v>111.74217913097</v>
      </c>
      <c r="C16" s="176">
        <v>4638.8648244465703</v>
      </c>
      <c r="D16" s="198">
        <v>0.66085099999999997</v>
      </c>
      <c r="E16" s="26"/>
      <c r="F16" s="26"/>
      <c r="G16" s="26"/>
      <c r="H16" s="26"/>
      <c r="I16" s="26"/>
      <c r="J16" s="26"/>
      <c r="K16" s="26"/>
      <c r="L16" s="26"/>
      <c r="M16" s="26"/>
      <c r="N16" s="26"/>
      <c r="O16" s="26"/>
      <c r="P16" s="26"/>
      <c r="Q16" s="26"/>
    </row>
    <row r="17" spans="1:19" x14ac:dyDescent="0.3">
      <c r="A17" s="75"/>
      <c r="B17" s="25"/>
      <c r="C17" s="25"/>
      <c r="D17" s="63"/>
      <c r="E17" s="26"/>
      <c r="F17" s="26"/>
      <c r="G17" s="26"/>
      <c r="H17" s="26"/>
      <c r="I17" s="26"/>
      <c r="J17" s="26"/>
      <c r="K17" s="26"/>
      <c r="L17" s="26"/>
      <c r="M17" s="26"/>
      <c r="N17" s="26"/>
      <c r="O17" s="26"/>
      <c r="P17" s="26"/>
      <c r="Q17" s="26"/>
    </row>
    <row r="18" spans="1:19" x14ac:dyDescent="0.3">
      <c r="A18" s="75"/>
      <c r="B18" s="25"/>
      <c r="C18" s="25"/>
      <c r="D18" s="63"/>
      <c r="E18" s="26"/>
      <c r="F18" s="26"/>
      <c r="G18" s="26"/>
      <c r="H18" s="26"/>
      <c r="I18" s="26"/>
      <c r="J18" s="26"/>
      <c r="K18" s="26"/>
      <c r="L18" s="26"/>
      <c r="M18" s="26"/>
      <c r="N18" s="26"/>
      <c r="O18" s="26"/>
      <c r="P18" s="26"/>
      <c r="Q18" s="26"/>
    </row>
    <row r="19" spans="1:19" x14ac:dyDescent="0.3">
      <c r="A19" s="153" t="str">
        <f>INCLUDING</f>
        <v>В тому числі:</v>
      </c>
      <c r="B19" s="25"/>
      <c r="C19" s="25"/>
      <c r="D19" s="63"/>
      <c r="E19" s="26"/>
      <c r="F19" s="26"/>
      <c r="G19" s="26"/>
      <c r="H19" s="26"/>
      <c r="I19" s="26"/>
      <c r="J19" s="26"/>
      <c r="K19" s="26"/>
      <c r="L19" s="26"/>
      <c r="M19" s="26"/>
      <c r="N19" s="26"/>
      <c r="O19" s="26"/>
      <c r="P19" s="26"/>
      <c r="Q19" s="26"/>
    </row>
    <row r="20" spans="1:19" x14ac:dyDescent="0.3">
      <c r="B20" s="76" t="str">
        <f>"Державний борг України за станом на " &amp; TEXT(DREPORTDATE,"dd.MM.yyyy")</f>
        <v>Державний борг України за станом на 28.02.2025</v>
      </c>
      <c r="C20" s="25"/>
      <c r="D20" s="27" t="str">
        <f>VALVAL</f>
        <v>млрд. одиниць</v>
      </c>
      <c r="E20" s="26"/>
      <c r="F20" s="26"/>
      <c r="G20" s="26"/>
      <c r="H20" s="26"/>
      <c r="I20" s="26"/>
      <c r="J20" s="26"/>
      <c r="K20" s="26"/>
      <c r="L20" s="26"/>
      <c r="M20" s="26"/>
      <c r="N20" s="26"/>
      <c r="O20" s="26"/>
      <c r="P20" s="26"/>
      <c r="Q20" s="26"/>
    </row>
    <row r="21" spans="1:19" s="34" customFormat="1" x14ac:dyDescent="0.3">
      <c r="A21" s="74"/>
      <c r="B21" s="68" t="str">
        <f>USD</f>
        <v>дол.США</v>
      </c>
      <c r="C21" s="68" t="str">
        <f>UAH</f>
        <v>грн.</v>
      </c>
      <c r="D21" s="69" t="s">
        <v>0</v>
      </c>
      <c r="E21" s="14"/>
      <c r="F21" s="14"/>
      <c r="G21" s="14"/>
      <c r="H21" s="14"/>
      <c r="I21" s="14"/>
      <c r="J21" s="14"/>
      <c r="K21" s="14"/>
      <c r="L21" s="14"/>
      <c r="M21" s="14"/>
      <c r="N21" s="14"/>
      <c r="O21" s="14"/>
      <c r="P21" s="14"/>
      <c r="Q21" s="14"/>
      <c r="R21" s="14"/>
      <c r="S21" s="14"/>
    </row>
    <row r="22" spans="1:19" s="134" customFormat="1" ht="14.5" x14ac:dyDescent="0.35">
      <c r="A22" s="151" t="str">
        <f>DEBT_TOTAL</f>
        <v>Загальна сума державного та гарантованого державою боргу</v>
      </c>
      <c r="B22" s="131">
        <f>B$32+B$23</f>
        <v>169.08837600779998</v>
      </c>
      <c r="C22" s="131">
        <f>C$32+C$23</f>
        <v>7019.5348415889603</v>
      </c>
      <c r="D22" s="132">
        <f>D$32+D$23</f>
        <v>1</v>
      </c>
      <c r="E22" s="133"/>
      <c r="F22" s="133"/>
      <c r="G22" s="133"/>
      <c r="H22" s="133"/>
      <c r="I22" s="133"/>
      <c r="J22" s="133"/>
      <c r="K22" s="133"/>
      <c r="L22" s="133"/>
      <c r="M22" s="133"/>
      <c r="N22" s="133"/>
      <c r="O22" s="133"/>
      <c r="P22" s="133"/>
      <c r="Q22" s="133"/>
    </row>
    <row r="23" spans="1:19" s="40" customFormat="1" ht="14.5" outlineLevel="1" x14ac:dyDescent="0.35">
      <c r="A23" s="242" t="s">
        <v>1</v>
      </c>
      <c r="B23" s="243">
        <f>SUM(B$24:B$31)</f>
        <v>162.35879084801999</v>
      </c>
      <c r="C23" s="243">
        <f>SUM(C$24:C$31)</f>
        <v>6740.16284326606</v>
      </c>
      <c r="D23" s="244">
        <f>SUM(D$24:D$31)</f>
        <v>0.960202</v>
      </c>
      <c r="E23" s="39"/>
      <c r="F23" s="39"/>
      <c r="G23" s="39"/>
      <c r="H23" s="39"/>
      <c r="I23" s="39"/>
      <c r="J23" s="39"/>
      <c r="K23" s="39"/>
      <c r="L23" s="39"/>
      <c r="M23" s="39"/>
      <c r="N23" s="39"/>
      <c r="O23" s="39"/>
      <c r="P23" s="39"/>
      <c r="Q23" s="39"/>
    </row>
    <row r="24" spans="1:19" s="40" customFormat="1" outlineLevel="2" x14ac:dyDescent="0.3">
      <c r="A24" s="245" t="s">
        <v>178</v>
      </c>
      <c r="B24" s="161">
        <v>5.0428081889299996</v>
      </c>
      <c r="C24" s="161">
        <v>209.34713915664</v>
      </c>
      <c r="D24" s="164">
        <v>2.9824E-2</v>
      </c>
      <c r="E24" s="39"/>
      <c r="F24" s="39"/>
      <c r="G24" s="39"/>
      <c r="H24" s="39"/>
      <c r="I24" s="39"/>
      <c r="J24" s="39"/>
      <c r="K24" s="39"/>
      <c r="L24" s="39"/>
      <c r="M24" s="39"/>
      <c r="N24" s="39"/>
      <c r="O24" s="39"/>
      <c r="P24" s="39"/>
      <c r="Q24" s="39"/>
    </row>
    <row r="25" spans="1:19" s="40" customFormat="1" outlineLevel="2" x14ac:dyDescent="0.3">
      <c r="A25" s="247" t="s">
        <v>179</v>
      </c>
      <c r="B25" s="248">
        <v>19.575720015870001</v>
      </c>
      <c r="C25" s="248">
        <v>812.66644073873999</v>
      </c>
      <c r="D25" s="77">
        <v>0.115772</v>
      </c>
      <c r="E25" s="39"/>
      <c r="F25" s="39"/>
      <c r="G25" s="39"/>
      <c r="H25" s="39"/>
      <c r="I25" s="39"/>
      <c r="J25" s="39"/>
      <c r="K25" s="39"/>
      <c r="L25" s="39"/>
      <c r="M25" s="39"/>
      <c r="N25" s="39"/>
      <c r="O25" s="39"/>
      <c r="P25" s="39"/>
      <c r="Q25" s="39"/>
    </row>
    <row r="26" spans="1:19" s="40" customFormat="1" outlineLevel="2" x14ac:dyDescent="0.3">
      <c r="A26" s="249" t="s">
        <v>180</v>
      </c>
      <c r="B26" s="176">
        <v>0.16799509160000001</v>
      </c>
      <c r="C26" s="176">
        <v>6.9741482325700002</v>
      </c>
      <c r="D26" s="198">
        <v>9.9400000000000009E-4</v>
      </c>
      <c r="E26" s="39"/>
      <c r="F26" s="39"/>
      <c r="G26" s="39"/>
      <c r="H26" s="39"/>
      <c r="I26" s="39"/>
      <c r="J26" s="39"/>
      <c r="K26" s="39"/>
      <c r="L26" s="39"/>
      <c r="M26" s="39"/>
      <c r="N26" s="39"/>
      <c r="O26" s="39"/>
      <c r="P26" s="39"/>
      <c r="Q26" s="39"/>
    </row>
    <row r="27" spans="1:19" s="40" customFormat="1" outlineLevel="2" x14ac:dyDescent="0.3">
      <c r="A27" s="249" t="s">
        <v>181</v>
      </c>
      <c r="B27" s="176">
        <v>0.23008456777</v>
      </c>
      <c r="C27" s="176">
        <v>9.5517307466099997</v>
      </c>
      <c r="D27" s="198">
        <v>1.361E-3</v>
      </c>
      <c r="E27" s="39"/>
      <c r="F27" s="39"/>
      <c r="G27" s="39"/>
      <c r="H27" s="39"/>
      <c r="I27" s="39"/>
      <c r="J27" s="39"/>
      <c r="K27" s="39"/>
      <c r="L27" s="39"/>
      <c r="M27" s="39"/>
      <c r="N27" s="39"/>
      <c r="O27" s="39"/>
      <c r="P27" s="39"/>
      <c r="Q27" s="39"/>
    </row>
    <row r="28" spans="1:19" s="62" customFormat="1" outlineLevel="2" x14ac:dyDescent="0.3">
      <c r="A28" s="249" t="s">
        <v>182</v>
      </c>
      <c r="B28" s="176">
        <v>3.4969633136499998</v>
      </c>
      <c r="C28" s="176">
        <v>145.172935</v>
      </c>
      <c r="D28" s="198">
        <v>2.0681000000000001E-2</v>
      </c>
      <c r="E28" s="61"/>
      <c r="F28" s="61"/>
      <c r="G28" s="61"/>
      <c r="H28" s="61"/>
      <c r="I28" s="61"/>
      <c r="J28" s="61"/>
      <c r="K28" s="61"/>
      <c r="L28" s="61"/>
      <c r="M28" s="61"/>
      <c r="N28" s="61"/>
      <c r="O28" s="61"/>
      <c r="P28" s="61"/>
      <c r="Q28" s="61"/>
    </row>
    <row r="29" spans="1:19" s="40" customFormat="1" outlineLevel="2" x14ac:dyDescent="0.3">
      <c r="A29" s="249" t="s">
        <v>183</v>
      </c>
      <c r="B29" s="176">
        <v>6.7447126271000002</v>
      </c>
      <c r="C29" s="176">
        <v>280</v>
      </c>
      <c r="D29" s="198">
        <v>3.9889000000000001E-2</v>
      </c>
      <c r="E29" s="39"/>
      <c r="F29" s="39"/>
      <c r="G29" s="39"/>
      <c r="H29" s="39"/>
      <c r="I29" s="39"/>
      <c r="J29" s="39"/>
      <c r="K29" s="39"/>
      <c r="L29" s="39"/>
      <c r="M29" s="39"/>
      <c r="N29" s="39"/>
      <c r="O29" s="39"/>
      <c r="P29" s="39"/>
      <c r="Q29" s="39"/>
    </row>
    <row r="30" spans="1:19" s="40" customFormat="1" outlineLevel="2" x14ac:dyDescent="0.3">
      <c r="A30" s="249" t="s">
        <v>184</v>
      </c>
      <c r="B30" s="176">
        <v>17.649558838250002</v>
      </c>
      <c r="C30" s="176">
        <v>732.70378561186999</v>
      </c>
      <c r="D30" s="198">
        <v>0.104381</v>
      </c>
      <c r="E30" s="39"/>
      <c r="F30" s="39"/>
      <c r="G30" s="39"/>
      <c r="H30" s="39"/>
      <c r="I30" s="39"/>
      <c r="J30" s="39"/>
      <c r="K30" s="39"/>
      <c r="L30" s="39"/>
      <c r="M30" s="39"/>
      <c r="N30" s="39"/>
      <c r="O30" s="39"/>
      <c r="P30" s="39"/>
      <c r="Q30" s="39"/>
    </row>
    <row r="31" spans="1:19" s="40" customFormat="1" outlineLevel="2" x14ac:dyDescent="0.3">
      <c r="A31" s="249" t="s">
        <v>186</v>
      </c>
      <c r="B31" s="176">
        <v>109.45094820484999</v>
      </c>
      <c r="C31" s="176">
        <v>4543.7466637796297</v>
      </c>
      <c r="D31" s="198">
        <v>0.64729999999999999</v>
      </c>
      <c r="E31" s="39"/>
      <c r="F31" s="39"/>
      <c r="G31" s="39"/>
      <c r="H31" s="39"/>
      <c r="I31" s="39"/>
      <c r="J31" s="39"/>
      <c r="K31" s="39"/>
      <c r="L31" s="39"/>
      <c r="M31" s="39"/>
      <c r="N31" s="39"/>
      <c r="O31" s="39"/>
      <c r="P31" s="39"/>
      <c r="Q31" s="39"/>
    </row>
    <row r="32" spans="1:19" s="40" customFormat="1" ht="14.5" outlineLevel="1" x14ac:dyDescent="0.35">
      <c r="A32" s="250" t="s">
        <v>2</v>
      </c>
      <c r="B32" s="228">
        <f>SUM(B$33:B$38)</f>
        <v>6.72958515978</v>
      </c>
      <c r="C32" s="228">
        <f>SUM(C$33:C$38)</f>
        <v>279.37199832289997</v>
      </c>
      <c r="D32" s="229">
        <f>SUM(D$33:D$38)</f>
        <v>3.9798E-2</v>
      </c>
      <c r="E32" s="39"/>
      <c r="F32" s="39"/>
      <c r="G32" s="39"/>
      <c r="H32" s="39"/>
      <c r="I32" s="39"/>
      <c r="J32" s="39"/>
      <c r="K32" s="39"/>
      <c r="L32" s="39"/>
      <c r="M32" s="39"/>
      <c r="N32" s="39"/>
      <c r="O32" s="39"/>
      <c r="P32" s="39"/>
      <c r="Q32" s="39"/>
    </row>
    <row r="33" spans="1:17" outlineLevel="2" x14ac:dyDescent="0.3">
      <c r="A33" s="249" t="s">
        <v>178</v>
      </c>
      <c r="B33" s="176">
        <v>1.1510886285299999</v>
      </c>
      <c r="C33" s="176">
        <v>47.78629332477</v>
      </c>
      <c r="D33" s="198">
        <v>6.8079999999999998E-3</v>
      </c>
      <c r="E33" s="26"/>
      <c r="F33" s="26"/>
      <c r="G33" s="26"/>
      <c r="H33" s="26"/>
      <c r="I33" s="26"/>
      <c r="J33" s="26"/>
      <c r="K33" s="26"/>
      <c r="L33" s="26"/>
      <c r="M33" s="26"/>
      <c r="N33" s="26"/>
      <c r="O33" s="26"/>
      <c r="P33" s="26"/>
      <c r="Q33" s="26"/>
    </row>
    <row r="34" spans="1:17" outlineLevel="2" x14ac:dyDescent="0.3">
      <c r="A34" s="249" t="s">
        <v>179</v>
      </c>
      <c r="B34" s="176">
        <v>1.33855895851</v>
      </c>
      <c r="C34" s="176">
        <v>55.568936603579999</v>
      </c>
      <c r="D34" s="198">
        <v>7.9159999999999994E-3</v>
      </c>
      <c r="E34" s="26"/>
      <c r="F34" s="26"/>
      <c r="G34" s="26"/>
      <c r="H34" s="26"/>
      <c r="I34" s="26"/>
      <c r="J34" s="26"/>
      <c r="K34" s="26"/>
      <c r="L34" s="26"/>
      <c r="M34" s="26"/>
      <c r="N34" s="26"/>
      <c r="O34" s="26"/>
      <c r="P34" s="26"/>
      <c r="Q34" s="26"/>
    </row>
    <row r="35" spans="1:17" outlineLevel="2" x14ac:dyDescent="0.3">
      <c r="A35" s="249" t="s">
        <v>183</v>
      </c>
      <c r="B35" s="176">
        <v>0.26114460347000001</v>
      </c>
      <c r="C35" s="176">
        <v>10.841157068699999</v>
      </c>
      <c r="D35" s="198">
        <v>1.544E-3</v>
      </c>
      <c r="E35" s="26"/>
      <c r="F35" s="26"/>
      <c r="G35" s="26"/>
      <c r="H35" s="26"/>
      <c r="I35" s="26"/>
      <c r="J35" s="26"/>
      <c r="K35" s="26"/>
      <c r="L35" s="26"/>
      <c r="M35" s="26"/>
      <c r="N35" s="26"/>
      <c r="O35" s="26"/>
      <c r="P35" s="26"/>
      <c r="Q35" s="26"/>
    </row>
    <row r="36" spans="1:17" outlineLevel="2" x14ac:dyDescent="0.3">
      <c r="A36" s="249" t="s">
        <v>184</v>
      </c>
      <c r="B36" s="176">
        <v>1.12631238389</v>
      </c>
      <c r="C36" s="176">
        <v>46.757732304720001</v>
      </c>
      <c r="D36" s="198">
        <v>6.6610000000000003E-3</v>
      </c>
      <c r="E36" s="26"/>
      <c r="F36" s="26"/>
      <c r="G36" s="26"/>
      <c r="H36" s="26"/>
      <c r="I36" s="26"/>
      <c r="J36" s="26"/>
      <c r="K36" s="26"/>
      <c r="L36" s="26"/>
      <c r="M36" s="26"/>
      <c r="N36" s="26"/>
      <c r="O36" s="26"/>
      <c r="P36" s="26"/>
      <c r="Q36" s="26"/>
    </row>
    <row r="37" spans="1:17" outlineLevel="2" x14ac:dyDescent="0.3">
      <c r="A37" s="249" t="s">
        <v>185</v>
      </c>
      <c r="B37" s="176">
        <v>0.56124965926000003</v>
      </c>
      <c r="C37" s="176">
        <v>23.299718354189999</v>
      </c>
      <c r="D37" s="198">
        <v>3.3189999999999999E-3</v>
      </c>
      <c r="E37" s="26"/>
      <c r="F37" s="26"/>
      <c r="G37" s="26"/>
      <c r="H37" s="26"/>
      <c r="I37" s="26"/>
      <c r="J37" s="26"/>
      <c r="K37" s="26"/>
      <c r="L37" s="26"/>
      <c r="M37" s="26"/>
      <c r="N37" s="26"/>
      <c r="O37" s="26"/>
      <c r="P37" s="26"/>
      <c r="Q37" s="26"/>
    </row>
    <row r="38" spans="1:17" outlineLevel="2" x14ac:dyDescent="0.3">
      <c r="A38" s="249" t="s">
        <v>186</v>
      </c>
      <c r="B38" s="176">
        <v>2.2912309261199999</v>
      </c>
      <c r="C38" s="176">
        <v>95.11816066694</v>
      </c>
      <c r="D38" s="198">
        <v>1.355E-2</v>
      </c>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E244" s="26"/>
      <c r="F244" s="26"/>
      <c r="G244" s="26"/>
      <c r="H244" s="26"/>
      <c r="I244" s="26"/>
      <c r="J244" s="26"/>
      <c r="K244" s="26"/>
      <c r="L244" s="26"/>
      <c r="M244" s="26"/>
      <c r="N244" s="26"/>
      <c r="O244" s="26"/>
      <c r="P244" s="26"/>
      <c r="Q244" s="26"/>
    </row>
    <row r="245" spans="2:17" x14ac:dyDescent="0.3">
      <c r="E245" s="26"/>
      <c r="F245" s="26"/>
      <c r="G245" s="26"/>
      <c r="H245" s="26"/>
      <c r="I245" s="26"/>
      <c r="J245" s="26"/>
      <c r="K245" s="26"/>
      <c r="L245" s="26"/>
      <c r="M245" s="26"/>
      <c r="N245" s="26"/>
      <c r="O245" s="26"/>
      <c r="P245" s="26"/>
      <c r="Q245" s="26"/>
    </row>
    <row r="246" spans="2:17" x14ac:dyDescent="0.3">
      <c r="E246" s="26"/>
      <c r="F246" s="26"/>
      <c r="G246" s="26"/>
      <c r="H246" s="26"/>
      <c r="I246" s="26"/>
      <c r="J246" s="26"/>
      <c r="K246" s="26"/>
      <c r="L246" s="26"/>
      <c r="M246" s="26"/>
      <c r="N246" s="26"/>
      <c r="O246" s="26"/>
      <c r="P246" s="26"/>
      <c r="Q246" s="26"/>
    </row>
    <row r="247" spans="2:17" x14ac:dyDescent="0.3">
      <c r="E247" s="26"/>
      <c r="F247" s="26"/>
      <c r="G247" s="26"/>
      <c r="H247" s="26"/>
      <c r="I247" s="26"/>
      <c r="J247" s="26"/>
      <c r="K247" s="26"/>
      <c r="L247" s="26"/>
      <c r="M247" s="26"/>
      <c r="N247" s="26"/>
      <c r="O247" s="26"/>
      <c r="P247" s="26"/>
      <c r="Q247" s="26"/>
    </row>
    <row r="248" spans="2:17" x14ac:dyDescent="0.3">
      <c r="E248" s="26"/>
      <c r="F248" s="26"/>
      <c r="G248" s="26"/>
      <c r="H248" s="26"/>
      <c r="I248" s="26"/>
      <c r="J248" s="26"/>
      <c r="K248" s="26"/>
      <c r="L248" s="26"/>
      <c r="M248" s="26"/>
      <c r="N248" s="26"/>
      <c r="O248" s="26"/>
      <c r="P248" s="26"/>
      <c r="Q248" s="26"/>
    </row>
    <row r="249" spans="2:17" x14ac:dyDescent="0.3">
      <c r="E249" s="26"/>
      <c r="F249" s="26"/>
      <c r="G249" s="26"/>
      <c r="H249" s="26"/>
      <c r="I249" s="26"/>
      <c r="J249" s="26"/>
      <c r="K249" s="26"/>
      <c r="L249" s="26"/>
      <c r="M249" s="26"/>
      <c r="N249" s="26"/>
      <c r="O249" s="26"/>
      <c r="P249" s="26"/>
      <c r="Q249" s="26"/>
    </row>
    <row r="250" spans="2:17" x14ac:dyDescent="0.3">
      <c r="E250" s="26"/>
      <c r="F250" s="26"/>
      <c r="G250" s="26"/>
      <c r="H250" s="26"/>
      <c r="I250" s="26"/>
      <c r="J250" s="26"/>
      <c r="K250" s="26"/>
      <c r="L250" s="26"/>
      <c r="M250" s="26"/>
      <c r="N250" s="26"/>
      <c r="O250" s="26"/>
      <c r="P250" s="26"/>
      <c r="Q250" s="26"/>
    </row>
    <row r="251" spans="2:17" x14ac:dyDescent="0.3">
      <c r="E251" s="26"/>
      <c r="F251" s="26"/>
      <c r="G251" s="26"/>
      <c r="H251" s="26"/>
      <c r="I251" s="26"/>
      <c r="J251" s="26"/>
      <c r="K251" s="26"/>
      <c r="L251" s="26"/>
      <c r="M251" s="26"/>
      <c r="N251" s="26"/>
      <c r="O251" s="26"/>
      <c r="P251" s="26"/>
      <c r="Q251"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2" bestFit="1" customWidth="1"/>
    <col min="2" max="2" width="17.453125" style="23" customWidth="1"/>
    <col min="3" max="3" width="18.1796875" style="23" customWidth="1"/>
    <col min="4" max="4" width="11.453125" style="72" bestFit="1" customWidth="1"/>
    <col min="5" max="5" width="17.1796875" style="23" customWidth="1"/>
    <col min="6" max="6" width="17.54296875" style="23" customWidth="1"/>
    <col min="7" max="7" width="11.453125" style="72" bestFit="1" customWidth="1"/>
    <col min="8" max="8" width="16.1796875" style="23" bestFit="1" customWidth="1"/>
    <col min="9" max="9" width="9.1796875" style="22" customWidth="1"/>
    <col min="10" max="16384" width="9.1796875" style="22"/>
  </cols>
  <sheetData>
    <row r="2" spans="1:19" ht="18.5" x14ac:dyDescent="0.45">
      <c r="A2" s="1" t="str">
        <f>DEBT_BY_RATE_TYPE</f>
        <v>Структура боргу за типом ставки на кінець попереднього року та звітну дату</v>
      </c>
      <c r="B2" s="280"/>
      <c r="C2" s="280"/>
      <c r="D2" s="280"/>
      <c r="E2" s="280"/>
      <c r="F2" s="280"/>
      <c r="G2" s="280"/>
      <c r="H2" s="280"/>
      <c r="I2" s="26"/>
      <c r="J2" s="26"/>
      <c r="K2" s="26"/>
      <c r="L2" s="26"/>
      <c r="M2" s="26"/>
      <c r="N2" s="26"/>
      <c r="O2" s="26"/>
      <c r="P2" s="26"/>
      <c r="Q2" s="26"/>
      <c r="R2" s="26"/>
      <c r="S2" s="26"/>
    </row>
    <row r="3" spans="1:19" x14ac:dyDescent="0.3">
      <c r="A3" s="24"/>
    </row>
    <row r="4" spans="1:19" s="27" customFormat="1" x14ac:dyDescent="0.3">
      <c r="B4" s="28"/>
      <c r="C4" s="28"/>
      <c r="D4" s="67"/>
      <c r="E4" s="28"/>
      <c r="F4" s="28"/>
      <c r="G4" s="67"/>
      <c r="H4" s="27" t="str">
        <f>VALVAL</f>
        <v>млрд. одиниць</v>
      </c>
    </row>
    <row r="5" spans="1:19" s="53" customFormat="1" x14ac:dyDescent="0.25">
      <c r="A5" s="78"/>
      <c r="B5" s="283">
        <v>45657</v>
      </c>
      <c r="C5" s="284"/>
      <c r="D5" s="285"/>
      <c r="E5" s="283">
        <v>45716</v>
      </c>
      <c r="F5" s="284"/>
      <c r="G5" s="285"/>
      <c r="H5" s="79"/>
    </row>
    <row r="6" spans="1:19" s="80" customFormat="1" x14ac:dyDescent="0.25">
      <c r="A6" s="12"/>
      <c r="B6" s="68" t="str">
        <f>USD</f>
        <v>дол.США</v>
      </c>
      <c r="C6" s="68" t="str">
        <f>UAH</f>
        <v>грн.</v>
      </c>
      <c r="D6" s="69" t="s">
        <v>0</v>
      </c>
      <c r="E6" s="68" t="str">
        <f>USD</f>
        <v>дол.США</v>
      </c>
      <c r="F6" s="68" t="str">
        <f>UAH</f>
        <v>грн.</v>
      </c>
      <c r="G6" s="69" t="s">
        <v>0</v>
      </c>
      <c r="H6" s="68" t="str">
        <f>CHANGE_OF_STRUCTURE</f>
        <v>Зміна структури</v>
      </c>
    </row>
    <row r="7" spans="1:19" s="130" customFormat="1" ht="15.5" x14ac:dyDescent="0.25">
      <c r="A7" s="142" t="str">
        <f>DEBT_TOTAL</f>
        <v>Загальна сума державного та гарантованого державою боргу</v>
      </c>
      <c r="B7" s="128">
        <f t="shared" ref="B7:H7" si="0">SUM(B8:B15)</f>
        <v>57.468825051890001</v>
      </c>
      <c r="C7" s="128">
        <f t="shared" si="0"/>
        <v>2415.9319363545096</v>
      </c>
      <c r="D7" s="129">
        <f t="shared" si="0"/>
        <v>0.34607600000000005</v>
      </c>
      <c r="E7" s="128">
        <f t="shared" si="0"/>
        <v>57.346196876830007</v>
      </c>
      <c r="F7" s="128">
        <f t="shared" si="0"/>
        <v>2380.6700171423904</v>
      </c>
      <c r="G7" s="129">
        <f t="shared" si="0"/>
        <v>0.33914899999999998</v>
      </c>
      <c r="H7" s="128">
        <f t="shared" si="0"/>
        <v>-6.9250000000000006E-3</v>
      </c>
    </row>
    <row r="8" spans="1:19" s="38" customFormat="1" outlineLevel="1" x14ac:dyDescent="0.25">
      <c r="A8" s="160" t="s">
        <v>178</v>
      </c>
      <c r="B8" s="166">
        <v>6.3168314976</v>
      </c>
      <c r="C8" s="166">
        <v>265.55327932928998</v>
      </c>
      <c r="D8" s="230">
        <v>3.8039999999999997E-2</v>
      </c>
      <c r="E8" s="166">
        <v>6.1938968174599998</v>
      </c>
      <c r="F8" s="166">
        <v>257.13343248141001</v>
      </c>
      <c r="G8" s="230">
        <v>3.6630999999999997E-2</v>
      </c>
      <c r="H8" s="166">
        <v>-1.4090000000000001E-3</v>
      </c>
    </row>
    <row r="9" spans="1:19" s="38" customFormat="1" outlineLevel="1" x14ac:dyDescent="0.25">
      <c r="A9" s="160" t="s">
        <v>179</v>
      </c>
      <c r="B9" s="166">
        <v>21.028241161610001</v>
      </c>
      <c r="C9" s="166">
        <v>884.00623019295995</v>
      </c>
      <c r="D9" s="230">
        <v>0.12663099999999999</v>
      </c>
      <c r="E9" s="166">
        <v>20.91427897438</v>
      </c>
      <c r="F9" s="166">
        <v>868.23537734232002</v>
      </c>
      <c r="G9" s="230">
        <v>0.12368800000000001</v>
      </c>
      <c r="H9" s="166">
        <v>-2.9429999999999999E-3</v>
      </c>
    </row>
    <row r="10" spans="1:19" s="38" customFormat="1" outlineLevel="1" x14ac:dyDescent="0.25">
      <c r="A10" s="160" t="s">
        <v>180</v>
      </c>
      <c r="B10" s="166">
        <v>0.16700042806000001</v>
      </c>
      <c r="C10" s="166">
        <v>7.0205309950499997</v>
      </c>
      <c r="D10" s="230">
        <v>1.0059999999999999E-3</v>
      </c>
      <c r="E10" s="166">
        <v>0.16799509160000001</v>
      </c>
      <c r="F10" s="166">
        <v>6.9741482325700002</v>
      </c>
      <c r="G10" s="230">
        <v>9.9400000000000009E-4</v>
      </c>
      <c r="H10" s="166">
        <v>-1.2E-5</v>
      </c>
    </row>
    <row r="11" spans="1:19" s="38" customFormat="1" outlineLevel="1" x14ac:dyDescent="0.25">
      <c r="A11" s="160" t="s">
        <v>181</v>
      </c>
      <c r="B11" s="166">
        <v>0.21848330896000001</v>
      </c>
      <c r="C11" s="166">
        <v>9.1848198253500009</v>
      </c>
      <c r="D11" s="230">
        <v>1.3159999999999999E-3</v>
      </c>
      <c r="E11" s="166">
        <v>0.23008456777</v>
      </c>
      <c r="F11" s="166">
        <v>9.5517307466099997</v>
      </c>
      <c r="G11" s="230">
        <v>1.361E-3</v>
      </c>
      <c r="H11" s="166">
        <v>4.5000000000000003E-5</v>
      </c>
    </row>
    <row r="12" spans="1:19" s="38" customFormat="1" outlineLevel="1" x14ac:dyDescent="0.25">
      <c r="A12" s="160" t="s">
        <v>182</v>
      </c>
      <c r="B12" s="166">
        <v>3.4532918243499999</v>
      </c>
      <c r="C12" s="166">
        <v>145.172935</v>
      </c>
      <c r="D12" s="230">
        <v>2.0795999999999999E-2</v>
      </c>
      <c r="E12" s="166">
        <v>3.4969633136499998</v>
      </c>
      <c r="F12" s="166">
        <v>145.172935</v>
      </c>
      <c r="G12" s="230">
        <v>2.0681000000000001E-2</v>
      </c>
      <c r="H12" s="166">
        <v>-1.1400000000000001E-4</v>
      </c>
    </row>
    <row r="13" spans="1:19" s="38" customFormat="1" outlineLevel="1" x14ac:dyDescent="0.25">
      <c r="A13" s="160" t="s">
        <v>183</v>
      </c>
      <c r="B13" s="166">
        <v>6.92263601288</v>
      </c>
      <c r="C13" s="166">
        <v>291.02069534536002</v>
      </c>
      <c r="D13" s="230">
        <v>4.1688000000000003E-2</v>
      </c>
      <c r="E13" s="166">
        <v>7.0058572305700002</v>
      </c>
      <c r="F13" s="166">
        <v>290.8411570687</v>
      </c>
      <c r="G13" s="230">
        <v>4.1432999999999998E-2</v>
      </c>
      <c r="H13" s="251">
        <v>-2.5500000000000002E-4</v>
      </c>
    </row>
    <row r="14" spans="1:19" outlineLevel="1" x14ac:dyDescent="0.3">
      <c r="A14" s="241" t="s">
        <v>184</v>
      </c>
      <c r="B14" s="176">
        <v>18.916013072719998</v>
      </c>
      <c r="C14" s="176">
        <v>795.21027356530999</v>
      </c>
      <c r="D14" s="198">
        <v>0.113911</v>
      </c>
      <c r="E14" s="176">
        <v>18.775871222140001</v>
      </c>
      <c r="F14" s="176">
        <v>779.46151791658997</v>
      </c>
      <c r="G14" s="198">
        <v>0.111042</v>
      </c>
      <c r="H14" s="252">
        <v>-2.869E-3</v>
      </c>
      <c r="I14" s="26"/>
      <c r="J14" s="26"/>
      <c r="K14" s="26"/>
      <c r="L14" s="26"/>
      <c r="M14" s="26"/>
      <c r="N14" s="26"/>
      <c r="O14" s="26"/>
      <c r="P14" s="26"/>
      <c r="Q14" s="26"/>
    </row>
    <row r="15" spans="1:19" outlineLevel="1" x14ac:dyDescent="0.3">
      <c r="A15" s="241" t="s">
        <v>185</v>
      </c>
      <c r="B15" s="176">
        <v>0.44632774571</v>
      </c>
      <c r="C15" s="176">
        <v>18.763172101190001</v>
      </c>
      <c r="D15" s="198">
        <v>2.6879999999999999E-3</v>
      </c>
      <c r="E15" s="176">
        <v>0.56124965926000003</v>
      </c>
      <c r="F15" s="176">
        <v>23.299718354189999</v>
      </c>
      <c r="G15" s="198">
        <v>3.3189999999999999E-3</v>
      </c>
      <c r="H15" s="252">
        <v>6.3199999999999997E-4</v>
      </c>
      <c r="I15" s="26"/>
      <c r="J15" s="26"/>
      <c r="K15" s="26"/>
      <c r="L15" s="26"/>
      <c r="M15" s="26"/>
      <c r="N15" s="26"/>
      <c r="O15" s="26"/>
      <c r="P15" s="26"/>
      <c r="Q15" s="26"/>
    </row>
    <row r="16" spans="1:19" outlineLevel="1" x14ac:dyDescent="0.3">
      <c r="A16" s="241" t="s">
        <v>186</v>
      </c>
      <c r="B16" s="176">
        <v>108.59042625645</v>
      </c>
      <c r="C16" s="176">
        <v>4565.03292939108</v>
      </c>
      <c r="D16" s="198">
        <v>0.65392600000000001</v>
      </c>
      <c r="E16" s="176">
        <v>111.74217913097</v>
      </c>
      <c r="F16" s="176">
        <v>4638.8648244465703</v>
      </c>
      <c r="G16" s="198">
        <v>0.66085099999999997</v>
      </c>
      <c r="H16" s="176">
        <v>6.9249999999999997E-3</v>
      </c>
      <c r="I16" s="26"/>
      <c r="J16" s="26"/>
      <c r="K16" s="26"/>
      <c r="L16" s="26"/>
      <c r="M16" s="26"/>
      <c r="N16" s="26"/>
      <c r="O16" s="26"/>
      <c r="P16" s="26"/>
      <c r="Q16" s="26"/>
    </row>
    <row r="17" spans="1:19" x14ac:dyDescent="0.3">
      <c r="B17" s="25"/>
      <c r="C17" s="25"/>
      <c r="D17" s="63"/>
      <c r="E17" s="25"/>
      <c r="F17" s="25"/>
      <c r="G17" s="63"/>
      <c r="H17" s="27" t="str">
        <f>VALVAL</f>
        <v>млрд. одиниць</v>
      </c>
      <c r="I17" s="26"/>
      <c r="J17" s="26"/>
      <c r="K17" s="26"/>
      <c r="L17" s="26"/>
      <c r="M17" s="26"/>
      <c r="N17" s="26"/>
      <c r="O17" s="26"/>
      <c r="P17" s="26"/>
      <c r="Q17" s="26"/>
    </row>
    <row r="18" spans="1:19" x14ac:dyDescent="0.3">
      <c r="A18" s="78"/>
      <c r="B18" s="283">
        <v>45657</v>
      </c>
      <c r="C18" s="284"/>
      <c r="D18" s="285"/>
      <c r="E18" s="283">
        <v>45716</v>
      </c>
      <c r="F18" s="284"/>
      <c r="G18" s="285"/>
      <c r="H18" s="79"/>
      <c r="I18" s="53"/>
      <c r="J18" s="53"/>
      <c r="K18" s="53"/>
      <c r="L18" s="53"/>
      <c r="M18" s="53"/>
      <c r="N18" s="53"/>
      <c r="O18" s="53"/>
      <c r="P18" s="53"/>
      <c r="Q18" s="53"/>
      <c r="R18" s="53"/>
      <c r="S18" s="53"/>
    </row>
    <row r="19" spans="1:19" s="83" customFormat="1" x14ac:dyDescent="0.3">
      <c r="A19" s="81"/>
      <c r="B19" s="89" t="str">
        <f>USD</f>
        <v>дол.США</v>
      </c>
      <c r="C19" s="89" t="str">
        <f>UAH</f>
        <v>грн.</v>
      </c>
      <c r="D19" s="90" t="s">
        <v>0</v>
      </c>
      <c r="E19" s="89" t="str">
        <f>USD</f>
        <v>дол.США</v>
      </c>
      <c r="F19" s="89" t="str">
        <f>UAH</f>
        <v>грн.</v>
      </c>
      <c r="G19" s="90" t="s">
        <v>0</v>
      </c>
      <c r="H19" s="89" t="str">
        <f>CHANGE_OF_STRUCTURE</f>
        <v>Зміна структури</v>
      </c>
      <c r="I19" s="82"/>
      <c r="J19" s="82"/>
      <c r="K19" s="82"/>
      <c r="L19" s="82"/>
      <c r="M19" s="82"/>
      <c r="N19" s="82"/>
      <c r="O19" s="82"/>
      <c r="P19" s="82"/>
      <c r="Q19" s="82"/>
    </row>
    <row r="20" spans="1:19" s="134" customFormat="1" ht="14.5" x14ac:dyDescent="0.35">
      <c r="A20" s="151" t="str">
        <f>DEBT_TOTAL</f>
        <v>Загальна сума державного та гарантованого державою боргу</v>
      </c>
      <c r="B20" s="136">
        <f t="shared" ref="B20:H20" si="1">B$30+B$21</f>
        <v>166.05925130833998</v>
      </c>
      <c r="C20" s="136">
        <f t="shared" si="1"/>
        <v>6980.96486574559</v>
      </c>
      <c r="D20" s="137">
        <f t="shared" si="1"/>
        <v>1.0000009999999999</v>
      </c>
      <c r="E20" s="136">
        <f t="shared" si="1"/>
        <v>169.08837600779998</v>
      </c>
      <c r="F20" s="136">
        <f t="shared" si="1"/>
        <v>7019.5348415889603</v>
      </c>
      <c r="G20" s="137">
        <f t="shared" si="1"/>
        <v>1</v>
      </c>
      <c r="H20" s="136">
        <f t="shared" si="1"/>
        <v>1.9999999999993981E-6</v>
      </c>
      <c r="I20" s="133"/>
      <c r="J20" s="133"/>
      <c r="K20" s="133"/>
      <c r="L20" s="133"/>
      <c r="M20" s="133"/>
      <c r="N20" s="133"/>
      <c r="O20" s="133"/>
      <c r="P20" s="133"/>
      <c r="Q20" s="133"/>
    </row>
    <row r="21" spans="1:19" s="62" customFormat="1" ht="14.5" outlineLevel="1" x14ac:dyDescent="0.35">
      <c r="A21" s="242" t="s">
        <v>1</v>
      </c>
      <c r="B21" s="253">
        <f t="shared" ref="B21:H21" si="2">SUM(B$22:B$29)</f>
        <v>159.19631191120999</v>
      </c>
      <c r="C21" s="253">
        <f t="shared" si="2"/>
        <v>6692.4537564279799</v>
      </c>
      <c r="D21" s="254">
        <f t="shared" si="2"/>
        <v>0.95867199999999997</v>
      </c>
      <c r="E21" s="253">
        <f t="shared" si="2"/>
        <v>162.35879084801999</v>
      </c>
      <c r="F21" s="253">
        <f t="shared" si="2"/>
        <v>6740.16284326606</v>
      </c>
      <c r="G21" s="254">
        <f t="shared" si="2"/>
        <v>0.960202</v>
      </c>
      <c r="H21" s="253">
        <f t="shared" si="2"/>
        <v>1.5299999999999992E-3</v>
      </c>
      <c r="I21" s="61"/>
      <c r="J21" s="61"/>
      <c r="K21" s="61"/>
      <c r="L21" s="61"/>
      <c r="M21" s="61"/>
      <c r="N21" s="61"/>
      <c r="O21" s="61"/>
      <c r="P21" s="61"/>
      <c r="Q21" s="61"/>
    </row>
    <row r="22" spans="1:19" s="40" customFormat="1" outlineLevel="2" x14ac:dyDescent="0.3">
      <c r="A22" s="245" t="s">
        <v>178</v>
      </c>
      <c r="B22" s="161">
        <v>5.0463515835699999</v>
      </c>
      <c r="C22" s="161">
        <v>212.14357422275</v>
      </c>
      <c r="D22" s="164">
        <v>3.0388999999999999E-2</v>
      </c>
      <c r="E22" s="161">
        <v>5.0428081889299996</v>
      </c>
      <c r="F22" s="161">
        <v>209.34713915664</v>
      </c>
      <c r="G22" s="164">
        <v>2.9824E-2</v>
      </c>
      <c r="H22" s="161">
        <v>-5.6499999999999996E-4</v>
      </c>
      <c r="I22" s="39"/>
      <c r="J22" s="39"/>
      <c r="K22" s="39"/>
      <c r="L22" s="39"/>
      <c r="M22" s="39"/>
      <c r="N22" s="39"/>
      <c r="O22" s="39"/>
      <c r="P22" s="39"/>
      <c r="Q22" s="39"/>
    </row>
    <row r="23" spans="1:19" outlineLevel="2" x14ac:dyDescent="0.3">
      <c r="A23" s="255" t="s">
        <v>179</v>
      </c>
      <c r="B23" s="176">
        <v>19.689682203099999</v>
      </c>
      <c r="C23" s="176">
        <v>827.73455013616001</v>
      </c>
      <c r="D23" s="198">
        <v>0.11856999999999999</v>
      </c>
      <c r="E23" s="176">
        <v>19.575720015870001</v>
      </c>
      <c r="F23" s="176">
        <v>812.66644073873999</v>
      </c>
      <c r="G23" s="198">
        <v>0.115772</v>
      </c>
      <c r="H23" s="176">
        <v>-2.7980000000000001E-3</v>
      </c>
      <c r="I23" s="26"/>
      <c r="J23" s="26"/>
      <c r="K23" s="26"/>
      <c r="L23" s="26"/>
      <c r="M23" s="26"/>
      <c r="N23" s="26"/>
      <c r="O23" s="26"/>
      <c r="P23" s="26"/>
      <c r="Q23" s="26"/>
    </row>
    <row r="24" spans="1:19" outlineLevel="2" x14ac:dyDescent="0.3">
      <c r="A24" s="255" t="s">
        <v>180</v>
      </c>
      <c r="B24" s="176">
        <v>0.16700042806000001</v>
      </c>
      <c r="C24" s="176">
        <v>7.0205309950499997</v>
      </c>
      <c r="D24" s="198">
        <v>1.0059999999999999E-3</v>
      </c>
      <c r="E24" s="176">
        <v>0.16799509160000001</v>
      </c>
      <c r="F24" s="176">
        <v>6.9741482325700002</v>
      </c>
      <c r="G24" s="198">
        <v>9.9400000000000009E-4</v>
      </c>
      <c r="H24" s="176">
        <v>-1.2E-5</v>
      </c>
      <c r="I24" s="26"/>
      <c r="J24" s="26"/>
      <c r="K24" s="26"/>
      <c r="L24" s="26"/>
      <c r="M24" s="26"/>
      <c r="N24" s="26"/>
      <c r="O24" s="26"/>
      <c r="P24" s="26"/>
      <c r="Q24" s="26"/>
    </row>
    <row r="25" spans="1:19" outlineLevel="2" x14ac:dyDescent="0.3">
      <c r="A25" s="255" t="s">
        <v>181</v>
      </c>
      <c r="B25" s="176">
        <v>0.21848330896000001</v>
      </c>
      <c r="C25" s="176">
        <v>9.1848198253500009</v>
      </c>
      <c r="D25" s="198">
        <v>1.3159999999999999E-3</v>
      </c>
      <c r="E25" s="176">
        <v>0.23008456777</v>
      </c>
      <c r="F25" s="176">
        <v>9.5517307466099997</v>
      </c>
      <c r="G25" s="198">
        <v>1.361E-3</v>
      </c>
      <c r="H25" s="176">
        <v>4.5000000000000003E-5</v>
      </c>
      <c r="I25" s="26"/>
      <c r="J25" s="26"/>
      <c r="K25" s="26"/>
      <c r="L25" s="26"/>
      <c r="M25" s="26"/>
      <c r="N25" s="26"/>
      <c r="O25" s="26"/>
      <c r="P25" s="26"/>
      <c r="Q25" s="26"/>
    </row>
    <row r="26" spans="1:19" outlineLevel="2" x14ac:dyDescent="0.3">
      <c r="A26" s="255" t="s">
        <v>182</v>
      </c>
      <c r="B26" s="176">
        <v>3.4532918243499999</v>
      </c>
      <c r="C26" s="176">
        <v>145.172935</v>
      </c>
      <c r="D26" s="198">
        <v>2.0795999999999999E-2</v>
      </c>
      <c r="E26" s="176">
        <v>3.4969633136499998</v>
      </c>
      <c r="F26" s="176">
        <v>145.172935</v>
      </c>
      <c r="G26" s="198">
        <v>2.0681000000000001E-2</v>
      </c>
      <c r="H26" s="176">
        <v>-1.1400000000000001E-4</v>
      </c>
      <c r="I26" s="26"/>
      <c r="J26" s="26"/>
      <c r="K26" s="26"/>
      <c r="L26" s="26"/>
      <c r="M26" s="26"/>
      <c r="N26" s="26"/>
      <c r="O26" s="26"/>
      <c r="P26" s="26"/>
      <c r="Q26" s="26"/>
    </row>
    <row r="27" spans="1:19" outlineLevel="2" x14ac:dyDescent="0.3">
      <c r="A27" s="255" t="s">
        <v>183</v>
      </c>
      <c r="B27" s="176">
        <v>6.6604819334499998</v>
      </c>
      <c r="C27" s="176">
        <v>280</v>
      </c>
      <c r="D27" s="198">
        <v>4.0108999999999999E-2</v>
      </c>
      <c r="E27" s="176">
        <v>6.7447126271000002</v>
      </c>
      <c r="F27" s="176">
        <v>280</v>
      </c>
      <c r="G27" s="198">
        <v>3.9889000000000001E-2</v>
      </c>
      <c r="H27" s="176">
        <v>-2.2000000000000001E-4</v>
      </c>
      <c r="I27" s="26"/>
      <c r="J27" s="26"/>
      <c r="K27" s="26"/>
      <c r="L27" s="26"/>
      <c r="M27" s="26"/>
      <c r="N27" s="26"/>
      <c r="O27" s="26"/>
      <c r="P27" s="26"/>
      <c r="Q27" s="26"/>
    </row>
    <row r="28" spans="1:19" outlineLevel="2" x14ac:dyDescent="0.3">
      <c r="A28" s="255" t="s">
        <v>184</v>
      </c>
      <c r="B28" s="176">
        <v>17.665421749109999</v>
      </c>
      <c r="C28" s="176">
        <v>742.63666491172</v>
      </c>
      <c r="D28" s="198">
        <v>0.10638</v>
      </c>
      <c r="E28" s="176">
        <v>17.649558838250002</v>
      </c>
      <c r="F28" s="176">
        <v>732.70378561186999</v>
      </c>
      <c r="G28" s="198">
        <v>0.104381</v>
      </c>
      <c r="H28" s="176">
        <v>-2E-3</v>
      </c>
      <c r="I28" s="26"/>
      <c r="J28" s="26"/>
      <c r="K28" s="26"/>
      <c r="L28" s="26"/>
      <c r="M28" s="26"/>
      <c r="N28" s="26"/>
      <c r="O28" s="26"/>
      <c r="P28" s="26"/>
      <c r="Q28" s="26"/>
    </row>
    <row r="29" spans="1:19" outlineLevel="2" x14ac:dyDescent="0.3">
      <c r="A29" s="255" t="s">
        <v>186</v>
      </c>
      <c r="B29" s="176">
        <v>106.29559888061</v>
      </c>
      <c r="C29" s="176">
        <v>4468.5606813369504</v>
      </c>
      <c r="D29" s="198">
        <v>0.64010599999999995</v>
      </c>
      <c r="E29" s="176">
        <v>109.45094820484999</v>
      </c>
      <c r="F29" s="176">
        <v>4543.7466637796297</v>
      </c>
      <c r="G29" s="198">
        <v>0.64729999999999999</v>
      </c>
      <c r="H29" s="176">
        <v>7.1939999999999999E-3</v>
      </c>
      <c r="I29" s="26"/>
      <c r="J29" s="26"/>
      <c r="K29" s="26"/>
      <c r="L29" s="26"/>
      <c r="M29" s="26"/>
      <c r="N29" s="26"/>
      <c r="O29" s="26"/>
      <c r="P29" s="26"/>
      <c r="Q29" s="26"/>
    </row>
    <row r="30" spans="1:19" ht="14.5" outlineLevel="1" x14ac:dyDescent="0.35">
      <c r="A30" s="227" t="s">
        <v>2</v>
      </c>
      <c r="B30" s="228">
        <f t="shared" ref="B30:H30" si="3">SUM(B$31:B$36)</f>
        <v>6.8629393971300008</v>
      </c>
      <c r="C30" s="228">
        <f t="shared" si="3"/>
        <v>288.51110931761002</v>
      </c>
      <c r="D30" s="229">
        <f t="shared" si="3"/>
        <v>4.1328999999999998E-2</v>
      </c>
      <c r="E30" s="228">
        <f t="shared" si="3"/>
        <v>6.72958515978</v>
      </c>
      <c r="F30" s="228">
        <f t="shared" si="3"/>
        <v>279.37199832289997</v>
      </c>
      <c r="G30" s="229">
        <f t="shared" si="3"/>
        <v>3.9798E-2</v>
      </c>
      <c r="H30" s="228">
        <f t="shared" si="3"/>
        <v>-1.5279999999999998E-3</v>
      </c>
      <c r="I30" s="26"/>
      <c r="J30" s="26"/>
      <c r="K30" s="26"/>
      <c r="L30" s="26"/>
      <c r="M30" s="26"/>
      <c r="N30" s="26"/>
      <c r="O30" s="26"/>
      <c r="P30" s="26"/>
      <c r="Q30" s="26"/>
    </row>
    <row r="31" spans="1:19" outlineLevel="2" x14ac:dyDescent="0.3">
      <c r="A31" s="255" t="s">
        <v>178</v>
      </c>
      <c r="B31" s="176">
        <v>1.27047991403</v>
      </c>
      <c r="C31" s="176">
        <v>53.409705106540002</v>
      </c>
      <c r="D31" s="198">
        <v>7.6509999999999998E-3</v>
      </c>
      <c r="E31" s="176">
        <v>1.1510886285299999</v>
      </c>
      <c r="F31" s="176">
        <v>47.78629332477</v>
      </c>
      <c r="G31" s="198">
        <v>6.8079999999999998E-3</v>
      </c>
      <c r="H31" s="176">
        <v>-8.43E-4</v>
      </c>
      <c r="I31" s="26"/>
      <c r="J31" s="26"/>
      <c r="K31" s="26"/>
      <c r="L31" s="26"/>
      <c r="M31" s="26"/>
      <c r="N31" s="26"/>
      <c r="O31" s="26"/>
      <c r="P31" s="26"/>
      <c r="Q31" s="26"/>
    </row>
    <row r="32" spans="1:19" outlineLevel="2" x14ac:dyDescent="0.3">
      <c r="A32" s="255" t="s">
        <v>179</v>
      </c>
      <c r="B32" s="176">
        <v>1.33855895851</v>
      </c>
      <c r="C32" s="176">
        <v>56.271680056800001</v>
      </c>
      <c r="D32" s="198">
        <v>8.0610000000000005E-3</v>
      </c>
      <c r="E32" s="176">
        <v>1.33855895851</v>
      </c>
      <c r="F32" s="176">
        <v>55.568936603579999</v>
      </c>
      <c r="G32" s="198">
        <v>7.9159999999999994E-3</v>
      </c>
      <c r="H32" s="176">
        <v>-1.44E-4</v>
      </c>
      <c r="I32" s="26"/>
      <c r="J32" s="26"/>
      <c r="K32" s="26"/>
      <c r="L32" s="26"/>
      <c r="M32" s="26"/>
      <c r="N32" s="26"/>
      <c r="O32" s="26"/>
      <c r="P32" s="26"/>
      <c r="Q32" s="26"/>
    </row>
    <row r="33" spans="1:17" outlineLevel="2" x14ac:dyDescent="0.3">
      <c r="A33" s="255" t="s">
        <v>183</v>
      </c>
      <c r="B33" s="176">
        <v>0.26215407943000002</v>
      </c>
      <c r="C33" s="176">
        <v>11.02069534536</v>
      </c>
      <c r="D33" s="198">
        <v>1.5790000000000001E-3</v>
      </c>
      <c r="E33" s="176">
        <v>0.26114460347000001</v>
      </c>
      <c r="F33" s="176">
        <v>10.841157068699999</v>
      </c>
      <c r="G33" s="198">
        <v>1.544E-3</v>
      </c>
      <c r="H33" s="176">
        <v>-3.4E-5</v>
      </c>
      <c r="I33" s="26"/>
      <c r="J33" s="26"/>
      <c r="K33" s="26"/>
      <c r="L33" s="26"/>
      <c r="M33" s="26"/>
      <c r="N33" s="26"/>
      <c r="O33" s="26"/>
      <c r="P33" s="26"/>
      <c r="Q33" s="26"/>
    </row>
    <row r="34" spans="1:17" outlineLevel="2" x14ac:dyDescent="0.3">
      <c r="A34" s="255" t="s">
        <v>184</v>
      </c>
      <c r="B34" s="176">
        <v>1.2505913236099999</v>
      </c>
      <c r="C34" s="176">
        <v>52.57360865359</v>
      </c>
      <c r="D34" s="198">
        <v>7.5310000000000004E-3</v>
      </c>
      <c r="E34" s="176">
        <v>1.12631238389</v>
      </c>
      <c r="F34" s="176">
        <v>46.757732304720001</v>
      </c>
      <c r="G34" s="198">
        <v>6.6610000000000003E-3</v>
      </c>
      <c r="H34" s="176">
        <v>-8.7000000000000001E-4</v>
      </c>
      <c r="I34" s="26"/>
      <c r="J34" s="26"/>
      <c r="K34" s="26"/>
      <c r="L34" s="26"/>
      <c r="M34" s="26"/>
      <c r="N34" s="26"/>
      <c r="O34" s="26"/>
      <c r="P34" s="26"/>
      <c r="Q34" s="26"/>
    </row>
    <row r="35" spans="1:17" outlineLevel="2" x14ac:dyDescent="0.3">
      <c r="A35" s="255" t="s">
        <v>185</v>
      </c>
      <c r="B35" s="176">
        <v>0.44632774571</v>
      </c>
      <c r="C35" s="176">
        <v>18.763172101190001</v>
      </c>
      <c r="D35" s="198">
        <v>2.6879999999999999E-3</v>
      </c>
      <c r="E35" s="176">
        <v>0.56124965926000003</v>
      </c>
      <c r="F35" s="176">
        <v>23.299718354189999</v>
      </c>
      <c r="G35" s="198">
        <v>3.3189999999999999E-3</v>
      </c>
      <c r="H35" s="176">
        <v>6.3199999999999997E-4</v>
      </c>
      <c r="I35" s="26"/>
      <c r="J35" s="26"/>
      <c r="K35" s="26"/>
      <c r="L35" s="26"/>
      <c r="M35" s="26"/>
      <c r="N35" s="26"/>
      <c r="O35" s="26"/>
      <c r="P35" s="26"/>
      <c r="Q35" s="26"/>
    </row>
    <row r="36" spans="1:17" outlineLevel="2" x14ac:dyDescent="0.3">
      <c r="A36" s="255" t="s">
        <v>186</v>
      </c>
      <c r="B36" s="176">
        <v>2.2948273758400002</v>
      </c>
      <c r="C36" s="176">
        <v>96.472248054130006</v>
      </c>
      <c r="D36" s="198">
        <v>1.3819E-2</v>
      </c>
      <c r="E36" s="176">
        <v>2.2912309261199999</v>
      </c>
      <c r="F36" s="176">
        <v>95.11816066694</v>
      </c>
      <c r="G36" s="198">
        <v>1.355E-2</v>
      </c>
      <c r="H36" s="176">
        <v>-2.6899999999999998E-4</v>
      </c>
      <c r="I36" s="26"/>
      <c r="J36" s="26"/>
      <c r="K36" s="26"/>
      <c r="L36" s="26"/>
      <c r="M36" s="26"/>
      <c r="N36" s="26"/>
      <c r="O36" s="26"/>
      <c r="P36" s="26"/>
      <c r="Q36" s="26"/>
    </row>
    <row r="37" spans="1:17" x14ac:dyDescent="0.3">
      <c r="B37" s="25"/>
      <c r="C37" s="25"/>
      <c r="D37" s="63"/>
      <c r="E37" s="25"/>
      <c r="F37" s="25"/>
      <c r="G37" s="63"/>
      <c r="H37" s="25"/>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2" bestFit="1" customWidth="1"/>
    <col min="2" max="2" width="17" style="23" customWidth="1"/>
    <col min="3" max="3" width="18.269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28.02.2025</v>
      </c>
      <c r="B2" s="280"/>
      <c r="C2" s="280"/>
      <c r="D2" s="280"/>
      <c r="E2" s="26"/>
      <c r="F2" s="26"/>
      <c r="G2" s="26"/>
      <c r="H2" s="26"/>
      <c r="I2" s="26"/>
      <c r="J2" s="26"/>
      <c r="K2" s="26"/>
      <c r="L2" s="26"/>
      <c r="M2" s="26"/>
      <c r="N2" s="26"/>
      <c r="O2" s="26"/>
      <c r="P2" s="26"/>
      <c r="Q2" s="26"/>
      <c r="R2" s="26"/>
      <c r="S2" s="26"/>
    </row>
    <row r="3" spans="1:19" ht="18.5" x14ac:dyDescent="0.45">
      <c r="A3" s="282" t="str">
        <f>BY_REPAYMENT_CURR</f>
        <v>(в розрізі валют погашення)</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143" t="str">
        <f>IF(REPORT_LANG="UKR","дол.США","USD")</f>
        <v>дол.США</v>
      </c>
      <c r="C6" s="143" t="str">
        <f>IF(REPORT_LANG="UKR","грн.","UAH")</f>
        <v>грн.</v>
      </c>
      <c r="D6" s="69" t="s">
        <v>0</v>
      </c>
    </row>
    <row r="7" spans="1:19" s="15" customFormat="1" ht="15.5" x14ac:dyDescent="0.25">
      <c r="A7" s="144"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84">
        <f>SUM(B8:B26)</f>
        <v>169.08837600779998</v>
      </c>
      <c r="C7" s="84">
        <f>SUM(C8:C26)</f>
        <v>7019.5348415889603</v>
      </c>
      <c r="D7" s="85">
        <f>SUM(D8:D26)</f>
        <v>1.0000010000000001</v>
      </c>
    </row>
    <row r="8" spans="1:19" s="38" customFormat="1" outlineLevel="1" x14ac:dyDescent="0.25">
      <c r="A8" s="160" t="s">
        <v>198</v>
      </c>
      <c r="B8" s="166">
        <v>0.19201022937000001</v>
      </c>
      <c r="C8" s="166">
        <v>7.9711126617700003</v>
      </c>
      <c r="D8" s="230">
        <v>1.1360000000000001E-3</v>
      </c>
    </row>
    <row r="9" spans="1:19" s="38" customFormat="1" outlineLevel="1" x14ac:dyDescent="0.25">
      <c r="A9" s="160" t="s">
        <v>199</v>
      </c>
      <c r="B9" s="166">
        <v>44.275476042720001</v>
      </c>
      <c r="C9" s="166">
        <v>1838.0521124375</v>
      </c>
      <c r="D9" s="230">
        <v>0.26184800000000003</v>
      </c>
    </row>
    <row r="10" spans="1:19" s="38" customFormat="1" outlineLevel="1" x14ac:dyDescent="0.25">
      <c r="A10" s="160" t="s">
        <v>200</v>
      </c>
      <c r="B10" s="166">
        <v>57.953509781809998</v>
      </c>
      <c r="C10" s="166">
        <v>2405.8820050864601</v>
      </c>
      <c r="D10" s="230">
        <v>0.34274100000000002</v>
      </c>
    </row>
    <row r="11" spans="1:19" s="38" customFormat="1" outlineLevel="1" x14ac:dyDescent="0.25">
      <c r="A11" s="160" t="s">
        <v>201</v>
      </c>
      <c r="B11" s="166">
        <v>4.7017000289100004</v>
      </c>
      <c r="C11" s="166">
        <v>195.186375</v>
      </c>
      <c r="D11" s="230">
        <v>2.7806000000000001E-2</v>
      </c>
    </row>
    <row r="12" spans="1:19" s="38" customFormat="1" outlineLevel="1" x14ac:dyDescent="0.25">
      <c r="A12" s="160" t="s">
        <v>202</v>
      </c>
      <c r="B12" s="166">
        <v>18.775871222140001</v>
      </c>
      <c r="C12" s="166">
        <v>779.46151791658997</v>
      </c>
      <c r="D12" s="230">
        <v>0.111042</v>
      </c>
    </row>
    <row r="13" spans="1:19" outlineLevel="1" x14ac:dyDescent="0.3">
      <c r="A13" s="241" t="s">
        <v>203</v>
      </c>
      <c r="B13" s="176">
        <v>42.298271469989999</v>
      </c>
      <c r="C13" s="176">
        <v>1755.9704418010999</v>
      </c>
      <c r="D13" s="198">
        <v>0.25015500000000002</v>
      </c>
      <c r="E13" s="26"/>
      <c r="F13" s="26"/>
      <c r="G13" s="26"/>
      <c r="H13" s="26"/>
      <c r="I13" s="26"/>
      <c r="J13" s="26"/>
      <c r="K13" s="26"/>
      <c r="L13" s="26"/>
      <c r="M13" s="26"/>
      <c r="N13" s="26"/>
      <c r="O13" s="26"/>
      <c r="P13" s="26"/>
      <c r="Q13" s="26"/>
    </row>
    <row r="14" spans="1:19" outlineLevel="1" x14ac:dyDescent="0.3">
      <c r="A14" s="241" t="s">
        <v>204</v>
      </c>
      <c r="B14" s="176">
        <v>0.89153723285999997</v>
      </c>
      <c r="C14" s="176">
        <v>37.011276685539997</v>
      </c>
      <c r="D14" s="198">
        <v>5.2729999999999999E-3</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row r="246" spans="2:17" x14ac:dyDescent="0.3">
      <c r="B246" s="25"/>
      <c r="C246" s="25"/>
      <c r="D246" s="63"/>
      <c r="E246" s="26"/>
      <c r="F246" s="26"/>
      <c r="G246" s="26"/>
      <c r="H246" s="26"/>
      <c r="I246" s="26"/>
      <c r="J246" s="26"/>
      <c r="K246" s="26"/>
      <c r="L246" s="26"/>
      <c r="M246" s="26"/>
      <c r="N246" s="26"/>
      <c r="O246" s="26"/>
      <c r="P246" s="26"/>
      <c r="Q246" s="26"/>
    </row>
    <row r="247" spans="2:17" x14ac:dyDescent="0.3">
      <c r="B247" s="25"/>
      <c r="C247" s="25"/>
      <c r="D247" s="63"/>
      <c r="E247" s="26"/>
      <c r="F247" s="26"/>
      <c r="G247" s="26"/>
      <c r="H247" s="26"/>
      <c r="I247" s="26"/>
      <c r="J247" s="26"/>
      <c r="K247" s="26"/>
      <c r="L247" s="26"/>
      <c r="M247" s="26"/>
      <c r="N247" s="26"/>
      <c r="O247" s="26"/>
      <c r="P247" s="26"/>
      <c r="Q247" s="26"/>
    </row>
    <row r="248" spans="2:17" x14ac:dyDescent="0.3">
      <c r="B248" s="25"/>
      <c r="C248" s="25"/>
      <c r="D248" s="63"/>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2" bestFit="1" customWidth="1"/>
    <col min="2" max="2" width="14.453125" style="23" bestFit="1" customWidth="1"/>
    <col min="3" max="3" width="16" style="23" bestFit="1" customWidth="1"/>
    <col min="4" max="4" width="11.453125" style="72" bestFit="1" customWidth="1"/>
    <col min="5" max="5" width="9.1796875" style="22" customWidth="1"/>
    <col min="6" max="16384" width="9.1796875" style="22"/>
  </cols>
  <sheetData>
    <row r="2" spans="1:19" ht="36" customHeight="1" x14ac:dyDescent="0.45">
      <c r="A2" s="279" t="str">
        <f>DEBT_AS_OF_DATE</f>
        <v>Державний та гарантований державою борг України
станом на 28.02.2025</v>
      </c>
      <c r="B2" s="280"/>
      <c r="C2" s="280"/>
      <c r="D2" s="280"/>
      <c r="E2" s="26"/>
      <c r="F2" s="26"/>
      <c r="G2" s="26"/>
      <c r="H2" s="26"/>
      <c r="I2" s="26"/>
      <c r="J2" s="26"/>
      <c r="K2" s="26"/>
      <c r="L2" s="26"/>
      <c r="M2" s="26"/>
      <c r="N2" s="26"/>
      <c r="O2" s="26"/>
      <c r="P2" s="26"/>
      <c r="Q2" s="26"/>
      <c r="R2" s="26"/>
      <c r="S2" s="26"/>
    </row>
    <row r="3" spans="1:19" ht="18.5" x14ac:dyDescent="0.45">
      <c r="A3" s="282" t="str">
        <f>BY_REPAYMENT_CURR</f>
        <v>(в розрізі валют погашення)</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68" t="str">
        <f>USD</f>
        <v>дол.США</v>
      </c>
      <c r="C6" s="68" t="str">
        <f>UAH</f>
        <v>грн.</v>
      </c>
      <c r="D6" s="69" t="s">
        <v>0</v>
      </c>
    </row>
    <row r="7" spans="1:19" s="15" customFormat="1" ht="15.5" x14ac:dyDescent="0.25">
      <c r="A7" s="144" t="str">
        <f>DEBT_TOTAL</f>
        <v>Загальна сума державного та гарантованого державою боргу</v>
      </c>
      <c r="B7" s="84">
        <f>SUM(B8:B18)</f>
        <v>169.08837600779998</v>
      </c>
      <c r="C7" s="84">
        <f>SUM(C8:C18)</f>
        <v>7019.5348415889603</v>
      </c>
      <c r="D7" s="85">
        <f>SUM(D8:D18)</f>
        <v>1.0000010000000001</v>
      </c>
    </row>
    <row r="8" spans="1:19" s="38" customFormat="1" outlineLevel="1" x14ac:dyDescent="0.25">
      <c r="A8" s="160" t="s">
        <v>198</v>
      </c>
      <c r="B8" s="166">
        <v>0.19201022937000001</v>
      </c>
      <c r="C8" s="166">
        <v>7.9711126617700003</v>
      </c>
      <c r="D8" s="230">
        <v>1.1360000000000001E-3</v>
      </c>
    </row>
    <row r="9" spans="1:19" s="38" customFormat="1" outlineLevel="1" x14ac:dyDescent="0.25">
      <c r="A9" s="160" t="s">
        <v>199</v>
      </c>
      <c r="B9" s="166">
        <v>44.275476042720001</v>
      </c>
      <c r="C9" s="166">
        <v>1838.0521124375</v>
      </c>
      <c r="D9" s="230">
        <v>0.26184800000000003</v>
      </c>
    </row>
    <row r="10" spans="1:19" s="38" customFormat="1" outlineLevel="1" x14ac:dyDescent="0.25">
      <c r="A10" s="160" t="s">
        <v>200</v>
      </c>
      <c r="B10" s="166">
        <v>57.953509781809998</v>
      </c>
      <c r="C10" s="166">
        <v>2405.8820050864601</v>
      </c>
      <c r="D10" s="230">
        <v>0.34274100000000002</v>
      </c>
    </row>
    <row r="11" spans="1:19" s="38" customFormat="1" outlineLevel="1" x14ac:dyDescent="0.25">
      <c r="A11" s="160" t="s">
        <v>201</v>
      </c>
      <c r="B11" s="166">
        <v>4.7017000289100004</v>
      </c>
      <c r="C11" s="166">
        <v>195.186375</v>
      </c>
      <c r="D11" s="230">
        <v>2.7806000000000001E-2</v>
      </c>
    </row>
    <row r="12" spans="1:19" s="38" customFormat="1" outlineLevel="1" x14ac:dyDescent="0.25">
      <c r="A12" s="160" t="s">
        <v>202</v>
      </c>
      <c r="B12" s="166">
        <v>18.775871222140001</v>
      </c>
      <c r="C12" s="166">
        <v>779.46151791658997</v>
      </c>
      <c r="D12" s="230">
        <v>0.111042</v>
      </c>
    </row>
    <row r="13" spans="1:19" outlineLevel="1" x14ac:dyDescent="0.3">
      <c r="A13" s="241" t="s">
        <v>203</v>
      </c>
      <c r="B13" s="176">
        <v>42.298271469989999</v>
      </c>
      <c r="C13" s="176">
        <v>1755.9704418010999</v>
      </c>
      <c r="D13" s="198">
        <v>0.25015500000000002</v>
      </c>
      <c r="E13" s="26"/>
      <c r="F13" s="26"/>
      <c r="G13" s="26"/>
      <c r="H13" s="26"/>
      <c r="I13" s="26"/>
      <c r="J13" s="26"/>
      <c r="K13" s="26"/>
      <c r="L13" s="26"/>
      <c r="M13" s="26"/>
      <c r="N13" s="26"/>
      <c r="O13" s="26"/>
      <c r="P13" s="26"/>
      <c r="Q13" s="26"/>
    </row>
    <row r="14" spans="1:19" outlineLevel="1" x14ac:dyDescent="0.3">
      <c r="A14" s="241" t="s">
        <v>204</v>
      </c>
      <c r="B14" s="176">
        <v>0.89153723285999997</v>
      </c>
      <c r="C14" s="176">
        <v>37.011276685539997</v>
      </c>
      <c r="D14" s="198">
        <v>5.2729999999999999E-3</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1:19" x14ac:dyDescent="0.3">
      <c r="B17" s="25"/>
      <c r="C17" s="25"/>
      <c r="D17" s="63"/>
      <c r="E17" s="26"/>
      <c r="F17" s="26"/>
      <c r="G17" s="26"/>
      <c r="H17" s="26"/>
      <c r="I17" s="26"/>
      <c r="J17" s="26"/>
      <c r="K17" s="26"/>
      <c r="L17" s="26"/>
      <c r="M17" s="26"/>
      <c r="N17" s="26"/>
      <c r="O17" s="26"/>
      <c r="P17" s="26"/>
      <c r="Q17" s="26"/>
    </row>
    <row r="18" spans="1:19" x14ac:dyDescent="0.3">
      <c r="B18" s="25"/>
      <c r="C18" s="25"/>
      <c r="D18" s="63"/>
      <c r="E18" s="26"/>
      <c r="F18" s="26"/>
      <c r="G18" s="26"/>
      <c r="H18" s="26"/>
      <c r="I18" s="26"/>
      <c r="J18" s="26"/>
      <c r="K18" s="26"/>
      <c r="L18" s="26"/>
      <c r="M18" s="26"/>
      <c r="N18" s="26"/>
      <c r="O18" s="26"/>
      <c r="P18" s="26"/>
      <c r="Q18" s="26"/>
    </row>
    <row r="19" spans="1:19" x14ac:dyDescent="0.3">
      <c r="B19" s="25"/>
      <c r="C19" s="25"/>
      <c r="D19" s="63"/>
      <c r="E19" s="26"/>
      <c r="F19" s="26"/>
      <c r="G19" s="26"/>
      <c r="H19" s="26"/>
      <c r="I19" s="26"/>
      <c r="J19" s="26"/>
      <c r="K19" s="26"/>
      <c r="L19" s="26"/>
      <c r="M19" s="26"/>
      <c r="N19" s="26"/>
      <c r="O19" s="26"/>
      <c r="P19" s="26"/>
      <c r="Q19" s="26"/>
    </row>
    <row r="20" spans="1:19" x14ac:dyDescent="0.3">
      <c r="A20" s="40" t="str">
        <f>INCLUDING</f>
        <v>В тому числі:</v>
      </c>
      <c r="B20" s="25"/>
      <c r="C20" s="25"/>
      <c r="D20" s="63"/>
      <c r="E20" s="26"/>
      <c r="F20" s="26"/>
      <c r="G20" s="26"/>
      <c r="H20" s="26"/>
      <c r="I20" s="26"/>
      <c r="J20" s="26"/>
      <c r="K20" s="26"/>
      <c r="L20" s="26"/>
      <c r="M20" s="26"/>
      <c r="N20" s="26"/>
      <c r="O20" s="26"/>
      <c r="P20" s="26"/>
      <c r="Q20" s="26"/>
    </row>
    <row r="21" spans="1:19" x14ac:dyDescent="0.3">
      <c r="B21" s="76"/>
      <c r="C21" s="25"/>
      <c r="D21" s="27" t="str">
        <f>VALVAL</f>
        <v>млрд. одиниць</v>
      </c>
      <c r="E21" s="26"/>
      <c r="F21" s="26"/>
      <c r="G21" s="26"/>
      <c r="H21" s="26"/>
      <c r="I21" s="26"/>
      <c r="J21" s="26"/>
      <c r="K21" s="26"/>
      <c r="L21" s="26"/>
      <c r="M21" s="26"/>
      <c r="N21" s="26"/>
      <c r="O21" s="26"/>
      <c r="P21" s="26"/>
      <c r="Q21" s="26"/>
    </row>
    <row r="22" spans="1:19" s="34" customFormat="1" x14ac:dyDescent="0.3">
      <c r="A22" s="12"/>
      <c r="B22" s="68" t="str">
        <f>USD</f>
        <v>дол.США</v>
      </c>
      <c r="C22" s="68" t="str">
        <f>UAH</f>
        <v>грн.</v>
      </c>
      <c r="D22" s="69" t="s">
        <v>0</v>
      </c>
      <c r="E22" s="14"/>
      <c r="F22" s="14"/>
      <c r="G22" s="14"/>
      <c r="H22" s="14"/>
      <c r="I22" s="14"/>
      <c r="J22" s="14"/>
      <c r="K22" s="14"/>
      <c r="L22" s="14"/>
      <c r="M22" s="14"/>
      <c r="N22" s="14"/>
      <c r="O22" s="14"/>
      <c r="P22" s="14"/>
      <c r="Q22" s="14"/>
      <c r="R22" s="14"/>
      <c r="S22" s="14"/>
    </row>
    <row r="23" spans="1:19" s="36" customFormat="1" ht="14.5" x14ac:dyDescent="0.3">
      <c r="A23" s="152" t="str">
        <f>DEBT_TOTAL</f>
        <v>Загальна сума державного та гарантованого державою боргу</v>
      </c>
      <c r="B23" s="86">
        <f>B$32+B$24</f>
        <v>169.08837600779998</v>
      </c>
      <c r="C23" s="86">
        <f>C$32+C$24</f>
        <v>7019.5348415889603</v>
      </c>
      <c r="D23" s="87">
        <f>D$32+D$24</f>
        <v>1.0000009999999999</v>
      </c>
      <c r="E23" s="35"/>
      <c r="F23" s="35"/>
      <c r="G23" s="35"/>
      <c r="H23" s="35"/>
      <c r="I23" s="35"/>
      <c r="J23" s="35"/>
      <c r="K23" s="35"/>
      <c r="L23" s="35"/>
      <c r="M23" s="35"/>
      <c r="N23" s="35"/>
      <c r="O23" s="35"/>
      <c r="P23" s="35"/>
      <c r="Q23" s="35"/>
    </row>
    <row r="24" spans="1:19" s="62" customFormat="1" ht="14.5" outlineLevel="1" x14ac:dyDescent="0.35">
      <c r="A24" s="256" t="s">
        <v>1</v>
      </c>
      <c r="B24" s="257">
        <f>SUM(B$25:B$31)</f>
        <v>162.35879084801999</v>
      </c>
      <c r="C24" s="257">
        <f>SUM(C$25:C$31)</f>
        <v>6740.16284326606</v>
      </c>
      <c r="D24" s="258">
        <f>SUM(D$25:D$31)</f>
        <v>0.96020199999999989</v>
      </c>
      <c r="E24" s="61"/>
      <c r="F24" s="61"/>
      <c r="G24" s="61"/>
      <c r="H24" s="61"/>
      <c r="I24" s="61"/>
      <c r="J24" s="61"/>
      <c r="K24" s="61"/>
      <c r="L24" s="61"/>
      <c r="M24" s="61"/>
      <c r="N24" s="61"/>
      <c r="O24" s="61"/>
      <c r="P24" s="61"/>
      <c r="Q24" s="61"/>
    </row>
    <row r="25" spans="1:19" s="40" customFormat="1" outlineLevel="2" x14ac:dyDescent="0.3">
      <c r="A25" s="245" t="s">
        <v>198</v>
      </c>
      <c r="B25" s="161">
        <v>0.19201022937000001</v>
      </c>
      <c r="C25" s="161">
        <v>7.9711126617700003</v>
      </c>
      <c r="D25" s="164">
        <v>1.1360000000000001E-3</v>
      </c>
      <c r="E25" s="39"/>
      <c r="F25" s="39"/>
      <c r="G25" s="39"/>
      <c r="H25" s="39"/>
      <c r="I25" s="39"/>
      <c r="J25" s="39"/>
      <c r="K25" s="39"/>
      <c r="L25" s="39"/>
      <c r="M25" s="39"/>
      <c r="N25" s="39"/>
      <c r="O25" s="39"/>
      <c r="P25" s="39"/>
      <c r="Q25" s="39"/>
    </row>
    <row r="26" spans="1:19" outlineLevel="2" x14ac:dyDescent="0.3">
      <c r="A26" s="245" t="s">
        <v>199</v>
      </c>
      <c r="B26" s="162">
        <v>41.723724644720001</v>
      </c>
      <c r="C26" s="162">
        <v>1732.11870490093</v>
      </c>
      <c r="D26" s="165">
        <v>0.246757</v>
      </c>
      <c r="E26" s="26"/>
      <c r="F26" s="26"/>
      <c r="G26" s="26"/>
      <c r="H26" s="26"/>
      <c r="I26" s="26"/>
      <c r="J26" s="26"/>
      <c r="K26" s="26"/>
      <c r="L26" s="26"/>
      <c r="M26" s="26"/>
      <c r="N26" s="26"/>
      <c r="O26" s="26"/>
      <c r="P26" s="26"/>
      <c r="Q26" s="26"/>
    </row>
    <row r="27" spans="1:19" outlineLevel="2" x14ac:dyDescent="0.3">
      <c r="A27" s="249" t="s">
        <v>200</v>
      </c>
      <c r="B27" s="176">
        <v>56.455233117829998</v>
      </c>
      <c r="C27" s="176">
        <v>2343.6825476581698</v>
      </c>
      <c r="D27" s="198">
        <v>0.33388000000000001</v>
      </c>
      <c r="E27" s="26"/>
      <c r="F27" s="26"/>
      <c r="G27" s="26"/>
      <c r="H27" s="26"/>
      <c r="I27" s="26"/>
      <c r="J27" s="26"/>
      <c r="K27" s="26"/>
      <c r="L27" s="26"/>
      <c r="M27" s="26"/>
      <c r="N27" s="26"/>
      <c r="O27" s="26"/>
      <c r="P27" s="26"/>
      <c r="Q27" s="26"/>
    </row>
    <row r="28" spans="1:19" outlineLevel="2" x14ac:dyDescent="0.3">
      <c r="A28" s="249" t="s">
        <v>201</v>
      </c>
      <c r="B28" s="176">
        <v>4.7017000289100004</v>
      </c>
      <c r="C28" s="176">
        <v>195.186375</v>
      </c>
      <c r="D28" s="198">
        <v>2.7806000000000001E-2</v>
      </c>
      <c r="E28" s="26"/>
      <c r="F28" s="26"/>
      <c r="G28" s="26"/>
      <c r="H28" s="26"/>
      <c r="I28" s="26"/>
      <c r="J28" s="26"/>
      <c r="K28" s="26"/>
      <c r="L28" s="26"/>
      <c r="M28" s="26"/>
      <c r="N28" s="26"/>
      <c r="O28" s="26"/>
      <c r="P28" s="26"/>
      <c r="Q28" s="26"/>
    </row>
    <row r="29" spans="1:19" outlineLevel="2" x14ac:dyDescent="0.3">
      <c r="A29" s="249" t="s">
        <v>202</v>
      </c>
      <c r="B29" s="176">
        <v>17.649558838250002</v>
      </c>
      <c r="C29" s="176">
        <v>732.70378561186999</v>
      </c>
      <c r="D29" s="198">
        <v>0.104381</v>
      </c>
      <c r="E29" s="26"/>
      <c r="F29" s="26"/>
      <c r="G29" s="26"/>
      <c r="H29" s="26"/>
      <c r="I29" s="26"/>
      <c r="J29" s="26"/>
      <c r="K29" s="26"/>
      <c r="L29" s="26"/>
      <c r="M29" s="26"/>
      <c r="N29" s="26"/>
      <c r="O29" s="26"/>
      <c r="P29" s="26"/>
      <c r="Q29" s="26"/>
    </row>
    <row r="30" spans="1:19" outlineLevel="2" x14ac:dyDescent="0.3">
      <c r="A30" s="255" t="s">
        <v>203</v>
      </c>
      <c r="B30" s="176">
        <v>40.745026756080001</v>
      </c>
      <c r="C30" s="176">
        <v>1691.4890407477801</v>
      </c>
      <c r="D30" s="198">
        <v>0.24096899999999999</v>
      </c>
      <c r="E30" s="26"/>
      <c r="F30" s="26"/>
      <c r="G30" s="26"/>
      <c r="H30" s="26"/>
      <c r="I30" s="26"/>
      <c r="J30" s="26"/>
      <c r="K30" s="26"/>
      <c r="L30" s="26"/>
      <c r="M30" s="26"/>
      <c r="N30" s="26"/>
      <c r="O30" s="26"/>
      <c r="P30" s="26"/>
      <c r="Q30" s="26"/>
    </row>
    <row r="31" spans="1:19" outlineLevel="2" x14ac:dyDescent="0.3">
      <c r="A31" s="255" t="s">
        <v>204</v>
      </c>
      <c r="B31" s="176">
        <v>0.89153723285999997</v>
      </c>
      <c r="C31" s="176">
        <v>37.011276685539997</v>
      </c>
      <c r="D31" s="198">
        <v>5.2729999999999999E-3</v>
      </c>
      <c r="E31" s="26"/>
      <c r="F31" s="26"/>
      <c r="G31" s="26"/>
      <c r="H31" s="26"/>
      <c r="I31" s="26"/>
      <c r="J31" s="26"/>
      <c r="K31" s="26"/>
      <c r="L31" s="26"/>
      <c r="M31" s="26"/>
      <c r="N31" s="26"/>
      <c r="O31" s="26"/>
      <c r="P31" s="26"/>
      <c r="Q31" s="26"/>
    </row>
    <row r="32" spans="1:19" ht="14.5" outlineLevel="1" x14ac:dyDescent="0.35">
      <c r="A32" s="259" t="s">
        <v>2</v>
      </c>
      <c r="B32" s="260">
        <f>SUM(B$33:B$36)</f>
        <v>6.72958515978</v>
      </c>
      <c r="C32" s="260">
        <f>SUM(C$33:C$36)</f>
        <v>279.37199832290003</v>
      </c>
      <c r="D32" s="261">
        <f>SUM(D$33:D$36)</f>
        <v>3.9799000000000001E-2</v>
      </c>
      <c r="E32" s="26"/>
      <c r="F32" s="26"/>
      <c r="G32" s="26"/>
      <c r="H32" s="26"/>
      <c r="I32" s="26"/>
      <c r="J32" s="26"/>
      <c r="K32" s="26"/>
      <c r="L32" s="26"/>
      <c r="M32" s="26"/>
      <c r="N32" s="26"/>
      <c r="O32" s="26"/>
      <c r="P32" s="26"/>
      <c r="Q32" s="26"/>
    </row>
    <row r="33" spans="1:17" outlineLevel="2" x14ac:dyDescent="0.3">
      <c r="A33" s="255" t="s">
        <v>199</v>
      </c>
      <c r="B33" s="176">
        <v>2.5517513979999999</v>
      </c>
      <c r="C33" s="176">
        <v>105.93340753657</v>
      </c>
      <c r="D33" s="198">
        <v>1.5091E-2</v>
      </c>
      <c r="E33" s="26"/>
      <c r="F33" s="26"/>
      <c r="G33" s="26"/>
      <c r="H33" s="26"/>
      <c r="I33" s="26"/>
      <c r="J33" s="26"/>
      <c r="K33" s="26"/>
      <c r="L33" s="26"/>
      <c r="M33" s="26"/>
      <c r="N33" s="26"/>
      <c r="O33" s="26"/>
      <c r="P33" s="26"/>
      <c r="Q33" s="26"/>
    </row>
    <row r="34" spans="1:17" outlineLevel="2" x14ac:dyDescent="0.3">
      <c r="A34" s="255" t="s">
        <v>200</v>
      </c>
      <c r="B34" s="176">
        <v>1.49827666398</v>
      </c>
      <c r="C34" s="176">
        <v>62.199457428290003</v>
      </c>
      <c r="D34" s="198">
        <v>8.8610000000000008E-3</v>
      </c>
      <c r="E34" s="26"/>
      <c r="F34" s="26"/>
      <c r="G34" s="26"/>
      <c r="H34" s="26"/>
      <c r="I34" s="26"/>
      <c r="J34" s="26"/>
      <c r="K34" s="26"/>
      <c r="L34" s="26"/>
      <c r="M34" s="26"/>
      <c r="N34" s="26"/>
      <c r="O34" s="26"/>
      <c r="P34" s="26"/>
      <c r="Q34" s="26"/>
    </row>
    <row r="35" spans="1:17" outlineLevel="2" x14ac:dyDescent="0.3">
      <c r="A35" s="255" t="s">
        <v>202</v>
      </c>
      <c r="B35" s="176">
        <v>1.12631238389</v>
      </c>
      <c r="C35" s="176">
        <v>46.757732304720001</v>
      </c>
      <c r="D35" s="198">
        <v>6.6610000000000003E-3</v>
      </c>
      <c r="E35" s="26"/>
      <c r="F35" s="26"/>
      <c r="G35" s="26"/>
      <c r="H35" s="26"/>
      <c r="I35" s="26"/>
      <c r="J35" s="26"/>
      <c r="K35" s="26"/>
      <c r="L35" s="26"/>
      <c r="M35" s="26"/>
      <c r="N35" s="26"/>
      <c r="O35" s="26"/>
      <c r="P35" s="26"/>
      <c r="Q35" s="26"/>
    </row>
    <row r="36" spans="1:17" outlineLevel="2" x14ac:dyDescent="0.3">
      <c r="A36" s="255" t="s">
        <v>203</v>
      </c>
      <c r="B36" s="176">
        <v>1.5532447139100001</v>
      </c>
      <c r="C36" s="176">
        <v>64.481401053319999</v>
      </c>
      <c r="D36" s="198">
        <v>9.1859999999999997E-3</v>
      </c>
      <c r="E36" s="26"/>
      <c r="F36" s="26"/>
      <c r="G36" s="26"/>
      <c r="H36" s="26"/>
      <c r="I36" s="26"/>
      <c r="J36" s="26"/>
      <c r="K36" s="26"/>
      <c r="L36" s="26"/>
      <c r="M36" s="26"/>
      <c r="N36" s="26"/>
      <c r="O36" s="26"/>
      <c r="P36" s="26"/>
      <c r="Q36" s="26"/>
    </row>
    <row r="37" spans="1:17" x14ac:dyDescent="0.3">
      <c r="B37" s="25"/>
      <c r="C37" s="25"/>
      <c r="D37" s="63"/>
      <c r="E37" s="26"/>
      <c r="F37" s="26"/>
      <c r="G37" s="26"/>
      <c r="H37" s="26"/>
      <c r="I37" s="26"/>
      <c r="J37" s="26"/>
      <c r="K37" s="26"/>
      <c r="L37" s="26"/>
      <c r="M37" s="26"/>
      <c r="N37" s="26"/>
      <c r="O37" s="26"/>
      <c r="P37" s="26"/>
      <c r="Q37" s="26"/>
    </row>
    <row r="38" spans="1:17" x14ac:dyDescent="0.3">
      <c r="B38" s="25"/>
      <c r="C38" s="25"/>
      <c r="D38" s="63"/>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2" bestFit="1" customWidth="1"/>
    <col min="2" max="2" width="19" style="23" customWidth="1"/>
    <col min="3" max="3" width="19.453125" style="23" customWidth="1"/>
    <col min="4" max="4" width="9.81640625" style="72" customWidth="1"/>
    <col min="5" max="5" width="18.453125" style="23" customWidth="1"/>
    <col min="6" max="6" width="17.7265625" style="23" customWidth="1"/>
    <col min="7" max="7" width="9.1796875" style="72" customWidth="1"/>
    <col min="8" max="8" width="16" style="23" bestFit="1" customWidth="1"/>
    <col min="9" max="9" width="9.1796875" style="22" customWidth="1"/>
    <col min="10" max="16384" width="9.1796875" style="22"/>
  </cols>
  <sheetData>
    <row r="2" spans="1:19" ht="18.5" x14ac:dyDescent="0.45">
      <c r="A2" s="1" t="str">
        <f>DEBT_CURR_STRUCT</f>
        <v>Валютна структура боргу на кінець попереднього року та на звітну дату</v>
      </c>
      <c r="B2" s="280"/>
      <c r="C2" s="280"/>
      <c r="D2" s="280"/>
      <c r="E2" s="280"/>
      <c r="F2" s="280"/>
      <c r="G2" s="280"/>
      <c r="H2" s="280"/>
      <c r="I2" s="26"/>
      <c r="J2" s="26"/>
      <c r="K2" s="26"/>
      <c r="L2" s="26"/>
      <c r="M2" s="26"/>
      <c r="N2" s="26"/>
      <c r="O2" s="26"/>
      <c r="P2" s="26"/>
      <c r="Q2" s="26"/>
      <c r="R2" s="26"/>
      <c r="S2" s="26"/>
    </row>
    <row r="3" spans="1:19" x14ac:dyDescent="0.3">
      <c r="A3" s="24"/>
    </row>
    <row r="4" spans="1:19" x14ac:dyDescent="0.3">
      <c r="B4" s="25"/>
      <c r="C4" s="25"/>
      <c r="D4" s="63"/>
      <c r="E4" s="25"/>
      <c r="F4" s="25"/>
      <c r="G4" s="63"/>
      <c r="H4" s="25"/>
      <c r="I4" s="26"/>
      <c r="J4" s="26"/>
      <c r="K4" s="26"/>
      <c r="L4" s="26"/>
      <c r="M4" s="26"/>
      <c r="N4" s="26"/>
      <c r="O4" s="26"/>
      <c r="P4" s="26"/>
      <c r="Q4" s="26"/>
    </row>
    <row r="5" spans="1:19" s="27" customFormat="1" x14ac:dyDescent="0.3">
      <c r="B5" s="28"/>
      <c r="C5" s="28"/>
      <c r="D5" s="67"/>
      <c r="E5" s="28"/>
      <c r="F5" s="28"/>
      <c r="G5" s="67"/>
      <c r="H5" s="27" t="str">
        <f>VALVAL</f>
        <v>млрд. одиниць</v>
      </c>
    </row>
    <row r="6" spans="1:19" s="53" customFormat="1" x14ac:dyDescent="0.25">
      <c r="A6" s="78"/>
      <c r="B6" s="283">
        <v>45657</v>
      </c>
      <c r="C6" s="284"/>
      <c r="D6" s="285"/>
      <c r="E6" s="283">
        <v>45716</v>
      </c>
      <c r="F6" s="284"/>
      <c r="G6" s="285"/>
      <c r="H6" s="79"/>
    </row>
    <row r="7" spans="1:19" s="80" customFormat="1" x14ac:dyDescent="0.25">
      <c r="A7" s="12"/>
      <c r="B7" s="68" t="str">
        <f>USD</f>
        <v>дол.США</v>
      </c>
      <c r="C7" s="68" t="str">
        <f>UAH</f>
        <v>грн.</v>
      </c>
      <c r="D7" s="69" t="s">
        <v>0</v>
      </c>
      <c r="E7" s="68" t="str">
        <f>USD</f>
        <v>дол.США</v>
      </c>
      <c r="F7" s="68" t="str">
        <f>UAH</f>
        <v>грн.</v>
      </c>
      <c r="G7" s="69" t="s">
        <v>0</v>
      </c>
      <c r="H7" s="68" t="str">
        <f>CHANGE_OF_STRUCTURE</f>
        <v>Зміна структури</v>
      </c>
    </row>
    <row r="8" spans="1:19" s="15" customFormat="1" ht="15.5" x14ac:dyDescent="0.25">
      <c r="A8" s="144" t="str">
        <f>DEBT_TOTAL</f>
        <v>Загальна сума державного та гарантованого державою боргу</v>
      </c>
      <c r="B8" s="84">
        <f>SUM(B9:B18)</f>
        <v>166.05925130834001</v>
      </c>
      <c r="C8" s="84">
        <f t="shared" ref="C8:H8" si="0">SUM(C9:C18)</f>
        <v>6980.96486574559</v>
      </c>
      <c r="D8" s="85">
        <f t="shared" si="0"/>
        <v>0.99999900000000008</v>
      </c>
      <c r="E8" s="84">
        <f t="shared" si="0"/>
        <v>169.08837600779998</v>
      </c>
      <c r="F8" s="84">
        <f t="shared" si="0"/>
        <v>7019.5348415889603</v>
      </c>
      <c r="G8" s="85">
        <f t="shared" si="0"/>
        <v>1.0000010000000001</v>
      </c>
      <c r="H8" s="88">
        <f t="shared" si="0"/>
        <v>0</v>
      </c>
    </row>
    <row r="9" spans="1:19" s="38" customFormat="1" outlineLevel="1" x14ac:dyDescent="0.25">
      <c r="A9" s="160" t="s">
        <v>198</v>
      </c>
      <c r="B9" s="166">
        <v>0.19087337725</v>
      </c>
      <c r="C9" s="166">
        <v>8.0241259062499992</v>
      </c>
      <c r="D9" s="230">
        <v>1.1490000000000001E-3</v>
      </c>
      <c r="E9" s="166">
        <v>0.19201022937000001</v>
      </c>
      <c r="F9" s="166">
        <v>7.9711126617700003</v>
      </c>
      <c r="G9" s="230">
        <v>1.1360000000000001E-3</v>
      </c>
      <c r="H9" s="166">
        <v>-1.4E-5</v>
      </c>
    </row>
    <row r="10" spans="1:19" outlineLevel="1" x14ac:dyDescent="0.3">
      <c r="A10" s="241" t="s">
        <v>199</v>
      </c>
      <c r="B10" s="176">
        <v>44.523593051120002</v>
      </c>
      <c r="C10" s="176">
        <v>1871.72732827603</v>
      </c>
      <c r="D10" s="198">
        <v>0.268119</v>
      </c>
      <c r="E10" s="176">
        <v>44.275476042720001</v>
      </c>
      <c r="F10" s="176">
        <v>1838.0521124375</v>
      </c>
      <c r="G10" s="198">
        <v>0.26184800000000003</v>
      </c>
      <c r="H10" s="176">
        <v>-6.2709999999999997E-3</v>
      </c>
      <c r="I10" s="26"/>
      <c r="J10" s="26"/>
      <c r="K10" s="26"/>
      <c r="L10" s="26"/>
      <c r="M10" s="26"/>
      <c r="N10" s="26"/>
      <c r="O10" s="26"/>
      <c r="P10" s="26"/>
      <c r="Q10" s="26"/>
    </row>
    <row r="11" spans="1:19" outlineLevel="1" x14ac:dyDescent="0.3">
      <c r="A11" s="241" t="s">
        <v>200</v>
      </c>
      <c r="B11" s="176">
        <v>54.822423933229999</v>
      </c>
      <c r="C11" s="176">
        <v>2304.6798797312599</v>
      </c>
      <c r="D11" s="198">
        <v>0.33013799999999999</v>
      </c>
      <c r="E11" s="176">
        <v>57.953509781809998</v>
      </c>
      <c r="F11" s="176">
        <v>2405.8820050864601</v>
      </c>
      <c r="G11" s="198">
        <v>0.34274100000000002</v>
      </c>
      <c r="H11" s="176">
        <v>1.2603E-2</v>
      </c>
      <c r="I11" s="26"/>
      <c r="J11" s="26"/>
      <c r="K11" s="26"/>
      <c r="L11" s="26"/>
      <c r="M11" s="26"/>
      <c r="N11" s="26"/>
      <c r="O11" s="26"/>
      <c r="P11" s="26"/>
      <c r="Q11" s="26"/>
    </row>
    <row r="12" spans="1:19" outlineLevel="1" x14ac:dyDescent="0.3">
      <c r="A12" s="241" t="s">
        <v>201</v>
      </c>
      <c r="B12" s="176">
        <v>4.6918914579299997</v>
      </c>
      <c r="C12" s="176">
        <v>197.242425</v>
      </c>
      <c r="D12" s="198">
        <v>2.8254000000000001E-2</v>
      </c>
      <c r="E12" s="176">
        <v>4.7017000289100004</v>
      </c>
      <c r="F12" s="176">
        <v>195.186375</v>
      </c>
      <c r="G12" s="198">
        <v>2.7806000000000001E-2</v>
      </c>
      <c r="H12" s="176">
        <v>-4.4799999999999999E-4</v>
      </c>
      <c r="I12" s="26"/>
      <c r="J12" s="26"/>
      <c r="K12" s="26"/>
      <c r="L12" s="26"/>
      <c r="M12" s="26"/>
      <c r="N12" s="26"/>
      <c r="O12" s="26"/>
      <c r="P12" s="26"/>
      <c r="Q12" s="26"/>
    </row>
    <row r="13" spans="1:19" outlineLevel="1" x14ac:dyDescent="0.3">
      <c r="A13" s="241" t="s">
        <v>202</v>
      </c>
      <c r="B13" s="176">
        <v>18.916013072719998</v>
      </c>
      <c r="C13" s="176">
        <v>795.21027356530999</v>
      </c>
      <c r="D13" s="198">
        <v>0.113911</v>
      </c>
      <c r="E13" s="176">
        <v>18.775871222140001</v>
      </c>
      <c r="F13" s="176">
        <v>779.46151791658997</v>
      </c>
      <c r="G13" s="198">
        <v>0.111042</v>
      </c>
      <c r="H13" s="176">
        <v>-2.869E-3</v>
      </c>
      <c r="I13" s="26"/>
      <c r="J13" s="26"/>
      <c r="K13" s="26"/>
      <c r="L13" s="26"/>
      <c r="M13" s="26"/>
      <c r="N13" s="26"/>
      <c r="O13" s="26"/>
      <c r="P13" s="26"/>
      <c r="Q13" s="26"/>
    </row>
    <row r="14" spans="1:19" outlineLevel="1" x14ac:dyDescent="0.3">
      <c r="A14" s="241" t="s">
        <v>203</v>
      </c>
      <c r="B14" s="176">
        <v>42.067872020700001</v>
      </c>
      <c r="C14" s="176">
        <v>1768.4912718688199</v>
      </c>
      <c r="D14" s="198">
        <v>0.25333</v>
      </c>
      <c r="E14" s="176">
        <v>42.298271469989999</v>
      </c>
      <c r="F14" s="176">
        <v>1755.9704418010999</v>
      </c>
      <c r="G14" s="198">
        <v>0.25015500000000002</v>
      </c>
      <c r="H14" s="176">
        <v>-3.176E-3</v>
      </c>
      <c r="I14" s="26"/>
      <c r="J14" s="26"/>
      <c r="K14" s="26"/>
      <c r="L14" s="26"/>
      <c r="M14" s="26"/>
      <c r="N14" s="26"/>
      <c r="O14" s="26"/>
      <c r="P14" s="26"/>
      <c r="Q14" s="26"/>
    </row>
    <row r="15" spans="1:19" outlineLevel="1" x14ac:dyDescent="0.3">
      <c r="A15" s="241" t="s">
        <v>204</v>
      </c>
      <c r="B15" s="176">
        <v>0.84658439538999997</v>
      </c>
      <c r="C15" s="176">
        <v>35.589561397920001</v>
      </c>
      <c r="D15" s="198">
        <v>5.0980000000000001E-3</v>
      </c>
      <c r="E15" s="176">
        <v>0.89153723285999997</v>
      </c>
      <c r="F15" s="176">
        <v>37.011276685539997</v>
      </c>
      <c r="G15" s="198">
        <v>5.2729999999999999E-3</v>
      </c>
      <c r="H15" s="176">
        <v>1.75E-4</v>
      </c>
      <c r="I15" s="26"/>
      <c r="J15" s="26"/>
      <c r="K15" s="26"/>
      <c r="L15" s="26"/>
      <c r="M15" s="26"/>
      <c r="N15" s="26"/>
      <c r="O15" s="26"/>
      <c r="P15" s="26"/>
      <c r="Q15" s="26"/>
    </row>
    <row r="16" spans="1:19" x14ac:dyDescent="0.3">
      <c r="B16" s="25"/>
      <c r="C16" s="25"/>
      <c r="D16" s="63"/>
      <c r="E16" s="25"/>
      <c r="F16" s="25"/>
      <c r="G16" s="63"/>
      <c r="H16" s="25"/>
      <c r="I16" s="26"/>
      <c r="J16" s="26"/>
      <c r="K16" s="26"/>
      <c r="L16" s="26"/>
      <c r="M16" s="26"/>
      <c r="N16" s="26"/>
      <c r="O16" s="26"/>
      <c r="P16" s="26"/>
      <c r="Q16" s="26"/>
    </row>
    <row r="17" spans="1:19" x14ac:dyDescent="0.3">
      <c r="B17" s="25"/>
      <c r="C17" s="25"/>
      <c r="D17" s="63"/>
      <c r="E17" s="25"/>
      <c r="F17" s="25"/>
      <c r="G17" s="63"/>
      <c r="H17" s="25"/>
      <c r="I17" s="26"/>
      <c r="J17" s="26"/>
      <c r="K17" s="26"/>
      <c r="L17" s="26"/>
      <c r="M17" s="26"/>
      <c r="N17" s="26"/>
      <c r="O17" s="26"/>
      <c r="P17" s="26"/>
      <c r="Q17" s="26"/>
    </row>
    <row r="18" spans="1:19" x14ac:dyDescent="0.3">
      <c r="B18" s="25"/>
      <c r="C18" s="25"/>
      <c r="D18" s="63"/>
      <c r="E18" s="25"/>
      <c r="F18" s="25"/>
      <c r="G18" s="63"/>
      <c r="H18" s="25"/>
      <c r="I18" s="26"/>
      <c r="J18" s="26"/>
      <c r="K18" s="26"/>
      <c r="L18" s="26"/>
      <c r="M18" s="26"/>
      <c r="N18" s="26"/>
      <c r="O18" s="26"/>
      <c r="P18" s="26"/>
      <c r="Q18" s="26"/>
    </row>
    <row r="19" spans="1:19" x14ac:dyDescent="0.3">
      <c r="B19" s="25"/>
      <c r="C19" s="25"/>
      <c r="D19" s="63"/>
      <c r="E19" s="25"/>
      <c r="F19" s="25"/>
      <c r="G19" s="63"/>
      <c r="H19" s="25"/>
      <c r="I19" s="26"/>
      <c r="J19" s="26"/>
      <c r="K19" s="26"/>
      <c r="L19" s="26"/>
      <c r="M19" s="26"/>
      <c r="N19" s="26"/>
      <c r="O19" s="26"/>
      <c r="P19" s="26"/>
      <c r="Q19" s="26"/>
    </row>
    <row r="20" spans="1:19" x14ac:dyDescent="0.3">
      <c r="B20" s="25"/>
      <c r="C20" s="25"/>
      <c r="D20" s="63"/>
      <c r="E20" s="25"/>
      <c r="F20" s="25"/>
      <c r="G20" s="63"/>
      <c r="H20" s="25"/>
      <c r="I20" s="26"/>
      <c r="J20" s="26"/>
      <c r="K20" s="26"/>
      <c r="L20" s="26"/>
      <c r="M20" s="26"/>
      <c r="N20" s="26"/>
      <c r="O20" s="26"/>
      <c r="P20" s="26"/>
      <c r="Q20" s="26"/>
    </row>
    <row r="21" spans="1:19" x14ac:dyDescent="0.3">
      <c r="B21" s="25"/>
      <c r="C21" s="25"/>
      <c r="D21" s="63"/>
      <c r="E21" s="25"/>
      <c r="F21" s="25"/>
      <c r="G21" s="63"/>
      <c r="H21" s="27" t="str">
        <f>VALVAL</f>
        <v>млрд. одиниць</v>
      </c>
      <c r="I21" s="26"/>
      <c r="J21" s="26"/>
      <c r="K21" s="26"/>
      <c r="L21" s="26"/>
      <c r="M21" s="26"/>
      <c r="N21" s="26"/>
      <c r="O21" s="26"/>
      <c r="P21" s="26"/>
      <c r="Q21" s="26"/>
    </row>
    <row r="22" spans="1:19" x14ac:dyDescent="0.3">
      <c r="A22" s="78"/>
      <c r="B22" s="283">
        <v>45657</v>
      </c>
      <c r="C22" s="284"/>
      <c r="D22" s="285"/>
      <c r="E22" s="283">
        <v>45716</v>
      </c>
      <c r="F22" s="284"/>
      <c r="G22" s="285"/>
      <c r="H22" s="79"/>
      <c r="I22" s="53"/>
      <c r="J22" s="53"/>
      <c r="K22" s="53"/>
      <c r="L22" s="53"/>
      <c r="M22" s="53"/>
      <c r="N22" s="53"/>
      <c r="O22" s="53"/>
      <c r="P22" s="53"/>
      <c r="Q22" s="53"/>
      <c r="R22" s="53"/>
      <c r="S22" s="53"/>
    </row>
    <row r="23" spans="1:19" s="83" customFormat="1" x14ac:dyDescent="0.3">
      <c r="A23" s="81"/>
      <c r="B23" s="89" t="str">
        <f>USD</f>
        <v>дол.США</v>
      </c>
      <c r="C23" s="89" t="str">
        <f>UAH</f>
        <v>грн.</v>
      </c>
      <c r="D23" s="90" t="s">
        <v>0</v>
      </c>
      <c r="E23" s="89" t="str">
        <f>USD</f>
        <v>дол.США</v>
      </c>
      <c r="F23" s="89" t="str">
        <f>UAH</f>
        <v>грн.</v>
      </c>
      <c r="G23" s="90" t="s">
        <v>0</v>
      </c>
      <c r="H23" s="89" t="str">
        <f>CHANGE_OF_STRUCTURE</f>
        <v>Зміна структури</v>
      </c>
      <c r="I23" s="82"/>
      <c r="J23" s="82"/>
      <c r="K23" s="82"/>
      <c r="L23" s="82"/>
      <c r="M23" s="82"/>
      <c r="N23" s="82"/>
      <c r="O23" s="82"/>
      <c r="P23" s="82"/>
      <c r="Q23" s="82"/>
    </row>
    <row r="24" spans="1:19" s="36" customFormat="1" ht="14.5" x14ac:dyDescent="0.35">
      <c r="A24" s="152" t="str">
        <f>DEBT_TOTAL</f>
        <v>Загальна сума державного та гарантованого державою боргу</v>
      </c>
      <c r="B24" s="86">
        <f t="shared" ref="B24:H24" si="1">B$33+B$25</f>
        <v>166.05925130834001</v>
      </c>
      <c r="C24" s="86">
        <f t="shared" si="1"/>
        <v>6980.96486574559</v>
      </c>
      <c r="D24" s="87">
        <f t="shared" si="1"/>
        <v>1.0000000000000002</v>
      </c>
      <c r="E24" s="86">
        <f t="shared" si="1"/>
        <v>169.08837600779998</v>
      </c>
      <c r="F24" s="86">
        <f t="shared" si="1"/>
        <v>7019.5348415889603</v>
      </c>
      <c r="G24" s="87">
        <f t="shared" si="1"/>
        <v>1.0000009999999999</v>
      </c>
      <c r="H24" s="91">
        <f t="shared" si="1"/>
        <v>-9.9999999999904852E-7</v>
      </c>
      <c r="I24" s="35"/>
      <c r="J24" s="35"/>
      <c r="K24" s="35"/>
      <c r="L24" s="35"/>
      <c r="M24" s="35"/>
      <c r="N24" s="35"/>
      <c r="O24" s="35"/>
      <c r="P24" s="35"/>
      <c r="Q24" s="35"/>
    </row>
    <row r="25" spans="1:19" s="62" customFormat="1" ht="14.5" outlineLevel="1" x14ac:dyDescent="0.35">
      <c r="A25" s="256" t="s">
        <v>1</v>
      </c>
      <c r="B25" s="257">
        <f t="shared" ref="B25:H25" si="2">SUM(B$26:B$32)</f>
        <v>159.19631191121002</v>
      </c>
      <c r="C25" s="257">
        <f t="shared" si="2"/>
        <v>6692.4537564279799</v>
      </c>
      <c r="D25" s="258">
        <f t="shared" si="2"/>
        <v>0.95867100000000016</v>
      </c>
      <c r="E25" s="257">
        <f t="shared" si="2"/>
        <v>162.35879084801999</v>
      </c>
      <c r="F25" s="257">
        <f t="shared" si="2"/>
        <v>6740.16284326606</v>
      </c>
      <c r="G25" s="258">
        <f t="shared" si="2"/>
        <v>0.96020199999999989</v>
      </c>
      <c r="H25" s="262">
        <f t="shared" si="2"/>
        <v>1.5290000000000011E-3</v>
      </c>
      <c r="I25" s="61"/>
      <c r="J25" s="61"/>
      <c r="K25" s="61"/>
      <c r="L25" s="61"/>
      <c r="M25" s="61"/>
      <c r="N25" s="61"/>
      <c r="O25" s="61"/>
      <c r="P25" s="61"/>
      <c r="Q25" s="61"/>
    </row>
    <row r="26" spans="1:19" s="40" customFormat="1" outlineLevel="2" x14ac:dyDescent="0.3">
      <c r="A26" s="245" t="s">
        <v>198</v>
      </c>
      <c r="B26" s="161">
        <v>0.19087337725</v>
      </c>
      <c r="C26" s="161">
        <v>8.0241259062499992</v>
      </c>
      <c r="D26" s="164">
        <v>1.1490000000000001E-3</v>
      </c>
      <c r="E26" s="161">
        <v>0.19201022937000001</v>
      </c>
      <c r="F26" s="161">
        <v>7.9711126617700003</v>
      </c>
      <c r="G26" s="164">
        <v>1.1360000000000001E-3</v>
      </c>
      <c r="H26" s="161">
        <v>-1.4E-5</v>
      </c>
      <c r="I26" s="39"/>
      <c r="J26" s="39"/>
      <c r="K26" s="39"/>
      <c r="L26" s="39"/>
      <c r="M26" s="39"/>
      <c r="N26" s="39"/>
      <c r="O26" s="39"/>
      <c r="P26" s="39"/>
      <c r="Q26" s="39"/>
    </row>
    <row r="27" spans="1:19" outlineLevel="2" x14ac:dyDescent="0.3">
      <c r="A27" s="255" t="s">
        <v>199</v>
      </c>
      <c r="B27" s="176">
        <v>41.946064231139999</v>
      </c>
      <c r="C27" s="176">
        <v>1763.3705942129</v>
      </c>
      <c r="D27" s="198">
        <v>0.25259700000000002</v>
      </c>
      <c r="E27" s="176">
        <v>41.723724644720001</v>
      </c>
      <c r="F27" s="176">
        <v>1732.11870490093</v>
      </c>
      <c r="G27" s="198">
        <v>0.246757</v>
      </c>
      <c r="H27" s="176">
        <v>-5.8399999999999997E-3</v>
      </c>
      <c r="I27" s="26"/>
      <c r="J27" s="26"/>
      <c r="K27" s="26"/>
      <c r="L27" s="26"/>
      <c r="M27" s="26"/>
      <c r="N27" s="26"/>
      <c r="O27" s="26"/>
      <c r="P27" s="26"/>
      <c r="Q27" s="26"/>
    </row>
    <row r="28" spans="1:19" outlineLevel="2" x14ac:dyDescent="0.3">
      <c r="A28" s="255" t="s">
        <v>200</v>
      </c>
      <c r="B28" s="176">
        <v>53.205683323819997</v>
      </c>
      <c r="C28" s="176">
        <v>2236.7137212514099</v>
      </c>
      <c r="D28" s="198">
        <v>0.32040200000000002</v>
      </c>
      <c r="E28" s="176">
        <v>56.455233117829998</v>
      </c>
      <c r="F28" s="176">
        <v>2343.6825476581698</v>
      </c>
      <c r="G28" s="198">
        <v>0.33388000000000001</v>
      </c>
      <c r="H28" s="176">
        <v>1.3478E-2</v>
      </c>
      <c r="I28" s="26"/>
      <c r="J28" s="26"/>
      <c r="K28" s="26"/>
      <c r="L28" s="26"/>
      <c r="M28" s="26"/>
      <c r="N28" s="26"/>
      <c r="O28" s="26"/>
      <c r="P28" s="26"/>
      <c r="Q28" s="26"/>
    </row>
    <row r="29" spans="1:19" outlineLevel="2" x14ac:dyDescent="0.3">
      <c r="A29" s="255" t="s">
        <v>201</v>
      </c>
      <c r="B29" s="176">
        <v>4.6918914579299997</v>
      </c>
      <c r="C29" s="176">
        <v>197.242425</v>
      </c>
      <c r="D29" s="198">
        <v>2.8254000000000001E-2</v>
      </c>
      <c r="E29" s="176">
        <v>4.7017000289100004</v>
      </c>
      <c r="F29" s="176">
        <v>195.186375</v>
      </c>
      <c r="G29" s="198">
        <v>2.7806000000000001E-2</v>
      </c>
      <c r="H29" s="176">
        <v>-4.4799999999999999E-4</v>
      </c>
      <c r="I29" s="26"/>
      <c r="J29" s="26"/>
      <c r="K29" s="26"/>
      <c r="L29" s="26"/>
      <c r="M29" s="26"/>
      <c r="N29" s="26"/>
      <c r="O29" s="26"/>
      <c r="P29" s="26"/>
      <c r="Q29" s="26"/>
    </row>
    <row r="30" spans="1:19" outlineLevel="2" x14ac:dyDescent="0.3">
      <c r="A30" s="255" t="s">
        <v>202</v>
      </c>
      <c r="B30" s="176">
        <v>17.665421749109999</v>
      </c>
      <c r="C30" s="176">
        <v>742.63666491172</v>
      </c>
      <c r="D30" s="198">
        <v>0.10638</v>
      </c>
      <c r="E30" s="176">
        <v>17.649558838250002</v>
      </c>
      <c r="F30" s="176">
        <v>732.70378561186999</v>
      </c>
      <c r="G30" s="198">
        <v>0.104381</v>
      </c>
      <c r="H30" s="176">
        <v>-2E-3</v>
      </c>
      <c r="I30" s="26"/>
      <c r="J30" s="26"/>
      <c r="K30" s="26"/>
      <c r="L30" s="26"/>
      <c r="M30" s="26"/>
      <c r="N30" s="26"/>
      <c r="O30" s="26"/>
      <c r="P30" s="26"/>
      <c r="Q30" s="26"/>
    </row>
    <row r="31" spans="1:19" outlineLevel="2" x14ac:dyDescent="0.3">
      <c r="A31" s="255" t="s">
        <v>203</v>
      </c>
      <c r="B31" s="176">
        <v>40.649793376570003</v>
      </c>
      <c r="C31" s="176">
        <v>1708.87666374778</v>
      </c>
      <c r="D31" s="198">
        <v>0.24479100000000001</v>
      </c>
      <c r="E31" s="176">
        <v>40.745026756080001</v>
      </c>
      <c r="F31" s="176">
        <v>1691.4890407477801</v>
      </c>
      <c r="G31" s="198">
        <v>0.24096899999999999</v>
      </c>
      <c r="H31" s="176">
        <v>-3.8219999999999999E-3</v>
      </c>
      <c r="I31" s="26"/>
      <c r="J31" s="26"/>
      <c r="K31" s="26"/>
      <c r="L31" s="26"/>
      <c r="M31" s="26"/>
      <c r="N31" s="26"/>
      <c r="O31" s="26"/>
      <c r="P31" s="26"/>
      <c r="Q31" s="26"/>
    </row>
    <row r="32" spans="1:19" s="27" customFormat="1" outlineLevel="2" x14ac:dyDescent="0.3">
      <c r="A32" s="255" t="s">
        <v>204</v>
      </c>
      <c r="B32" s="263">
        <v>0.84658439538999997</v>
      </c>
      <c r="C32" s="263">
        <v>35.589561397920001</v>
      </c>
      <c r="D32" s="264">
        <v>5.0980000000000001E-3</v>
      </c>
      <c r="E32" s="263">
        <v>0.89153723285999997</v>
      </c>
      <c r="F32" s="263">
        <v>37.011276685539997</v>
      </c>
      <c r="G32" s="264">
        <v>5.2729999999999999E-3</v>
      </c>
      <c r="H32" s="263">
        <v>1.75E-4</v>
      </c>
    </row>
    <row r="33" spans="1:17" ht="14.5" outlineLevel="1" x14ac:dyDescent="0.35">
      <c r="A33" s="259" t="s">
        <v>2</v>
      </c>
      <c r="B33" s="260">
        <f t="shared" ref="B33:H33" si="3">SUM(B$34:B$37)</f>
        <v>6.8629393971300008</v>
      </c>
      <c r="C33" s="260">
        <f t="shared" si="3"/>
        <v>288.51110931761002</v>
      </c>
      <c r="D33" s="261">
        <f t="shared" si="3"/>
        <v>4.1328999999999998E-2</v>
      </c>
      <c r="E33" s="260">
        <f t="shared" si="3"/>
        <v>6.72958515978</v>
      </c>
      <c r="F33" s="260">
        <f t="shared" si="3"/>
        <v>279.37199832290003</v>
      </c>
      <c r="G33" s="261">
        <f t="shared" si="3"/>
        <v>3.9799000000000001E-2</v>
      </c>
      <c r="H33" s="260">
        <f t="shared" si="3"/>
        <v>-1.5300000000000001E-3</v>
      </c>
      <c r="I33" s="26"/>
      <c r="J33" s="26"/>
      <c r="K33" s="26"/>
      <c r="L33" s="26"/>
      <c r="M33" s="26"/>
      <c r="N33" s="26"/>
      <c r="O33" s="26"/>
      <c r="P33" s="26"/>
      <c r="Q33" s="26"/>
    </row>
    <row r="34" spans="1:17" outlineLevel="2" x14ac:dyDescent="0.3">
      <c r="A34" s="255" t="s">
        <v>199</v>
      </c>
      <c r="B34" s="176">
        <v>2.5775288199799999</v>
      </c>
      <c r="C34" s="176">
        <v>108.35673406313001</v>
      </c>
      <c r="D34" s="198">
        <v>1.5521999999999999E-2</v>
      </c>
      <c r="E34" s="176">
        <v>2.5517513979999999</v>
      </c>
      <c r="F34" s="176">
        <v>105.93340753657</v>
      </c>
      <c r="G34" s="198">
        <v>1.5091E-2</v>
      </c>
      <c r="H34" s="176">
        <v>-4.3100000000000001E-4</v>
      </c>
      <c r="I34" s="26"/>
      <c r="J34" s="26"/>
      <c r="K34" s="26"/>
      <c r="L34" s="26"/>
      <c r="M34" s="26"/>
      <c r="N34" s="26"/>
      <c r="O34" s="26"/>
      <c r="P34" s="26"/>
      <c r="Q34" s="26"/>
    </row>
    <row r="35" spans="1:17" outlineLevel="2" x14ac:dyDescent="0.3">
      <c r="A35" s="255" t="s">
        <v>200</v>
      </c>
      <c r="B35" s="176">
        <v>1.6167406094100001</v>
      </c>
      <c r="C35" s="176">
        <v>67.966158479849994</v>
      </c>
      <c r="D35" s="198">
        <v>9.7359999999999999E-3</v>
      </c>
      <c r="E35" s="176">
        <v>1.49827666398</v>
      </c>
      <c r="F35" s="176">
        <v>62.199457428290003</v>
      </c>
      <c r="G35" s="198">
        <v>8.8610000000000008E-3</v>
      </c>
      <c r="H35" s="176">
        <v>-8.7500000000000002E-4</v>
      </c>
      <c r="I35" s="26"/>
      <c r="J35" s="26"/>
      <c r="K35" s="26"/>
      <c r="L35" s="26"/>
      <c r="M35" s="26"/>
      <c r="N35" s="26"/>
      <c r="O35" s="26"/>
      <c r="P35" s="26"/>
      <c r="Q35" s="26"/>
    </row>
    <row r="36" spans="1:17" outlineLevel="2" x14ac:dyDescent="0.3">
      <c r="A36" s="255" t="s">
        <v>202</v>
      </c>
      <c r="B36" s="176">
        <v>1.2505913236099999</v>
      </c>
      <c r="C36" s="176">
        <v>52.57360865359</v>
      </c>
      <c r="D36" s="198">
        <v>7.5310000000000004E-3</v>
      </c>
      <c r="E36" s="176">
        <v>1.12631238389</v>
      </c>
      <c r="F36" s="176">
        <v>46.757732304720001</v>
      </c>
      <c r="G36" s="198">
        <v>6.6610000000000003E-3</v>
      </c>
      <c r="H36" s="176">
        <v>-8.7000000000000001E-4</v>
      </c>
      <c r="I36" s="26"/>
      <c r="J36" s="26"/>
      <c r="K36" s="26"/>
      <c r="L36" s="26"/>
      <c r="M36" s="26"/>
      <c r="N36" s="26"/>
      <c r="O36" s="26"/>
      <c r="P36" s="26"/>
      <c r="Q36" s="26"/>
    </row>
    <row r="37" spans="1:17" outlineLevel="2" x14ac:dyDescent="0.3">
      <c r="A37" s="255" t="s">
        <v>203</v>
      </c>
      <c r="B37" s="176">
        <v>1.41807864413</v>
      </c>
      <c r="C37" s="176">
        <v>59.61460812104</v>
      </c>
      <c r="D37" s="198">
        <v>8.5400000000000007E-3</v>
      </c>
      <c r="E37" s="176">
        <v>1.5532447139100001</v>
      </c>
      <c r="F37" s="176">
        <v>64.481401053319999</v>
      </c>
      <c r="G37" s="198">
        <v>9.1859999999999997E-3</v>
      </c>
      <c r="H37" s="176">
        <v>6.4599999999999998E-4</v>
      </c>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row r="239" spans="2:17" x14ac:dyDescent="0.3">
      <c r="B239" s="25"/>
      <c r="C239" s="25"/>
      <c r="D239" s="63"/>
      <c r="E239" s="25"/>
      <c r="F239" s="25"/>
      <c r="G239" s="63"/>
      <c r="H239" s="25"/>
      <c r="I239" s="26"/>
      <c r="J239" s="26"/>
      <c r="K239" s="26"/>
      <c r="L239" s="26"/>
      <c r="M239" s="26"/>
      <c r="N239" s="26"/>
      <c r="O239" s="26"/>
      <c r="P239" s="26"/>
      <c r="Q239" s="26"/>
    </row>
    <row r="240" spans="2:17" x14ac:dyDescent="0.3">
      <c r="B240" s="25"/>
      <c r="C240" s="25"/>
      <c r="D240" s="63"/>
      <c r="E240" s="25"/>
      <c r="F240" s="25"/>
      <c r="G240" s="63"/>
      <c r="H240" s="25"/>
      <c r="I240" s="26"/>
      <c r="J240" s="26"/>
      <c r="K240" s="26"/>
      <c r="L240" s="26"/>
      <c r="M240" s="26"/>
      <c r="N240" s="26"/>
      <c r="O240" s="26"/>
      <c r="P240" s="26"/>
      <c r="Q240" s="26"/>
    </row>
    <row r="241" spans="2:17" x14ac:dyDescent="0.3">
      <c r="B241" s="25"/>
      <c r="C241" s="25"/>
      <c r="D241" s="63"/>
      <c r="E241" s="25"/>
      <c r="F241" s="25"/>
      <c r="G241" s="63"/>
      <c r="H241" s="25"/>
      <c r="I241" s="26"/>
      <c r="J241" s="26"/>
      <c r="K241" s="26"/>
      <c r="L241" s="26"/>
      <c r="M241" s="26"/>
      <c r="N241" s="26"/>
      <c r="O241" s="26"/>
      <c r="P241" s="26"/>
      <c r="Q241" s="26"/>
    </row>
    <row r="242" spans="2:17" x14ac:dyDescent="0.3">
      <c r="B242" s="25"/>
      <c r="C242" s="25"/>
      <c r="D242" s="63"/>
      <c r="E242" s="25"/>
      <c r="F242" s="25"/>
      <c r="G242" s="63"/>
      <c r="H242" s="25"/>
      <c r="I242" s="26"/>
      <c r="J242" s="26"/>
      <c r="K242" s="26"/>
      <c r="L242" s="26"/>
      <c r="M242" s="26"/>
      <c r="N242" s="26"/>
      <c r="O242" s="26"/>
      <c r="P242" s="26"/>
      <c r="Q242" s="26"/>
    </row>
    <row r="243" spans="2:17" x14ac:dyDescent="0.3">
      <c r="B243" s="25"/>
      <c r="C243" s="25"/>
      <c r="D243" s="63"/>
      <c r="E243" s="25"/>
      <c r="F243" s="25"/>
      <c r="G243" s="63"/>
      <c r="H243" s="25"/>
      <c r="I243" s="26"/>
      <c r="J243" s="26"/>
      <c r="K243" s="26"/>
      <c r="L243" s="26"/>
      <c r="M243" s="26"/>
      <c r="N243" s="26"/>
      <c r="O243" s="26"/>
      <c r="P243" s="26"/>
      <c r="Q243" s="26"/>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2" bestFit="1" customWidth="1"/>
    <col min="2" max="2" width="14.453125" style="23" bestFit="1" customWidth="1"/>
    <col min="3" max="3" width="18.26953125" style="92" bestFit="1" customWidth="1"/>
    <col min="4" max="4" width="18.453125" style="92" bestFit="1" customWidth="1"/>
    <col min="5" max="5" width="14.81640625" style="23" bestFit="1" customWidth="1"/>
    <col min="6" max="6" width="16" style="23" bestFit="1" customWidth="1"/>
    <col min="7" max="7" width="10.7265625" style="72" bestFit="1" customWidth="1"/>
    <col min="8" max="8" width="14.453125" style="23" bestFit="1" customWidth="1"/>
    <col min="9" max="9" width="18.26953125" style="92" bestFit="1" customWidth="1"/>
    <col min="10" max="10" width="18.453125" style="92" bestFit="1" customWidth="1"/>
    <col min="11" max="12" width="16" style="23" bestFit="1" customWidth="1"/>
    <col min="13" max="13" width="10.7265625" style="72" bestFit="1" customWidth="1"/>
    <col min="14" max="14" width="16.1796875" style="23" bestFit="1" customWidth="1"/>
    <col min="15" max="15" width="16.26953125" style="22" customWidth="1"/>
    <col min="16" max="16384" width="16.26953125" style="22"/>
  </cols>
  <sheetData>
    <row r="2" spans="1:19" s="30" customFormat="1" ht="18.5" x14ac:dyDescent="0.45">
      <c r="A2" s="1" t="str">
        <f>DEBT_CURR_STRUCT</f>
        <v>Валютна структура боргу на кінець попереднього року та на звітну дату</v>
      </c>
      <c r="B2" s="280"/>
      <c r="C2" s="280"/>
      <c r="D2" s="280"/>
      <c r="E2" s="280"/>
      <c r="F2" s="280"/>
      <c r="G2" s="280"/>
      <c r="H2" s="280"/>
      <c r="I2" s="280"/>
      <c r="J2" s="280"/>
      <c r="K2" s="280"/>
      <c r="L2" s="280"/>
      <c r="M2" s="280"/>
      <c r="N2" s="280"/>
      <c r="O2" s="96"/>
      <c r="P2" s="96"/>
      <c r="Q2" s="96"/>
      <c r="R2" s="96"/>
      <c r="S2" s="96"/>
    </row>
    <row r="3" spans="1:19" x14ac:dyDescent="0.3">
      <c r="A3" s="24"/>
    </row>
    <row r="4" spans="1:19" s="27" customFormat="1" x14ac:dyDescent="0.3">
      <c r="B4" s="28"/>
      <c r="C4" s="94"/>
      <c r="D4" s="94"/>
      <c r="E4" s="28"/>
      <c r="F4" s="28"/>
      <c r="G4" s="67"/>
      <c r="H4" s="28"/>
      <c r="I4" s="94"/>
      <c r="J4" s="94"/>
      <c r="K4" s="28"/>
      <c r="L4" s="28"/>
      <c r="M4" s="67"/>
      <c r="N4" s="27" t="str">
        <f>VALVAL</f>
        <v>млрд. одиниць</v>
      </c>
    </row>
    <row r="5" spans="1:19" s="53" customFormat="1" x14ac:dyDescent="0.25">
      <c r="A5" s="78"/>
      <c r="B5" s="283">
        <v>45657</v>
      </c>
      <c r="C5" s="284"/>
      <c r="D5" s="284"/>
      <c r="E5" s="284"/>
      <c r="F5" s="284"/>
      <c r="G5" s="285"/>
      <c r="H5" s="283">
        <v>45716</v>
      </c>
      <c r="I5" s="284"/>
      <c r="J5" s="284"/>
      <c r="K5" s="284"/>
      <c r="L5" s="284"/>
      <c r="M5" s="285"/>
      <c r="N5" s="79"/>
    </row>
    <row r="6" spans="1:19" s="80" customFormat="1" x14ac:dyDescent="0.25">
      <c r="A6" s="12"/>
      <c r="B6" s="68" t="str">
        <f>ORIGINAL</f>
        <v>оріг.</v>
      </c>
      <c r="C6" s="95" t="str">
        <f>EXCH_RATE_TO_USD</f>
        <v>курс до USD</v>
      </c>
      <c r="D6" s="95" t="str">
        <f>EXCH_RATE_TO_UAH</f>
        <v>курс до UAH</v>
      </c>
      <c r="E6" s="68" t="str">
        <f>USD</f>
        <v>дол.США</v>
      </c>
      <c r="F6" s="68" t="str">
        <f>UAH</f>
        <v>грн.</v>
      </c>
      <c r="G6" s="69" t="s">
        <v>0</v>
      </c>
      <c r="H6" s="68" t="str">
        <f>ORIGINAL</f>
        <v>оріг.</v>
      </c>
      <c r="I6" s="95" t="str">
        <f>EXCH_RATE_TO_USD</f>
        <v>курс до USD</v>
      </c>
      <c r="J6" s="95" t="str">
        <f>EXCH_RATE_TO_UAH</f>
        <v>курс до UAH</v>
      </c>
      <c r="K6" s="68" t="str">
        <f>USD</f>
        <v>дол.США</v>
      </c>
      <c r="L6" s="68" t="str">
        <f>UAH</f>
        <v>грн.</v>
      </c>
      <c r="M6" s="69" t="s">
        <v>0</v>
      </c>
      <c r="N6" s="68" t="str">
        <f>CHANGE_OF_STRUCTURE</f>
        <v>Зміна структури</v>
      </c>
    </row>
    <row r="7" spans="1:19" s="15" customFormat="1" ht="14.5" x14ac:dyDescent="0.25">
      <c r="A7" s="152" t="str">
        <f>DEBT_TOTAL</f>
        <v>Загальна сума державного та гарантованого державою боргу</v>
      </c>
      <c r="B7" s="43"/>
      <c r="C7" s="97"/>
      <c r="D7" s="97"/>
      <c r="E7" s="43">
        <f>SUM(E8:E23)</f>
        <v>166.05925130834001</v>
      </c>
      <c r="F7" s="43">
        <f>SUM(F8:F23)</f>
        <v>6980.96486574559</v>
      </c>
      <c r="G7" s="98">
        <f>SUM(G8:G23)</f>
        <v>0.99999900000000008</v>
      </c>
      <c r="H7" s="43"/>
      <c r="I7" s="97"/>
      <c r="J7" s="97"/>
      <c r="K7" s="43">
        <f>SUM(K8:K23)</f>
        <v>169.08837600779998</v>
      </c>
      <c r="L7" s="43">
        <f>SUM(L8:L23)</f>
        <v>7019.5348415889603</v>
      </c>
      <c r="M7" s="98">
        <f>SUM(M8:M23)</f>
        <v>1.0000010000000001</v>
      </c>
      <c r="N7" s="43">
        <f>SUM(N8:N23)</f>
        <v>0</v>
      </c>
    </row>
    <row r="8" spans="1:19" s="38" customFormat="1" outlineLevel="1" x14ac:dyDescent="0.25">
      <c r="A8" s="160" t="s">
        <v>198</v>
      </c>
      <c r="B8" s="166">
        <v>0.15155301451</v>
      </c>
      <c r="C8" s="265">
        <v>1.25945</v>
      </c>
      <c r="D8" s="265">
        <v>52.945999999999998</v>
      </c>
      <c r="E8" s="166">
        <v>0.19087337725</v>
      </c>
      <c r="F8" s="166">
        <v>8.0241259062499992</v>
      </c>
      <c r="G8" s="230">
        <v>1.1490000000000001E-3</v>
      </c>
      <c r="H8" s="166">
        <v>0.15155301451</v>
      </c>
      <c r="I8" s="265">
        <v>1.2669509999999999</v>
      </c>
      <c r="J8" s="265">
        <v>52.596200000000003</v>
      </c>
      <c r="K8" s="166">
        <v>0.19201022937000001</v>
      </c>
      <c r="L8" s="166">
        <v>7.9711126617700003</v>
      </c>
      <c r="M8" s="230">
        <v>1.1360000000000001E-3</v>
      </c>
      <c r="N8" s="166">
        <v>-1.4E-5</v>
      </c>
    </row>
    <row r="9" spans="1:19" outlineLevel="1" x14ac:dyDescent="0.3">
      <c r="A9" s="241" t="s">
        <v>199</v>
      </c>
      <c r="B9" s="176">
        <v>44.523593051120002</v>
      </c>
      <c r="C9" s="266">
        <v>1</v>
      </c>
      <c r="D9" s="266">
        <v>42.039000000000001</v>
      </c>
      <c r="E9" s="176">
        <v>44.523593051120002</v>
      </c>
      <c r="F9" s="176">
        <v>1871.72732827603</v>
      </c>
      <c r="G9" s="198">
        <v>0.268119</v>
      </c>
      <c r="H9" s="176">
        <v>44.275476042720001</v>
      </c>
      <c r="I9" s="266">
        <v>1</v>
      </c>
      <c r="J9" s="266">
        <v>41.514000000000003</v>
      </c>
      <c r="K9" s="176">
        <v>44.275476042720001</v>
      </c>
      <c r="L9" s="176">
        <v>1838.0521124375</v>
      </c>
      <c r="M9" s="198">
        <v>0.26184800000000003</v>
      </c>
      <c r="N9" s="176">
        <v>-6.2709999999999997E-3</v>
      </c>
      <c r="O9" s="26"/>
      <c r="P9" s="26"/>
      <c r="Q9" s="26"/>
    </row>
    <row r="10" spans="1:19" outlineLevel="1" x14ac:dyDescent="0.3">
      <c r="A10" s="241" t="s">
        <v>200</v>
      </c>
      <c r="B10" s="176">
        <v>52.466612023949999</v>
      </c>
      <c r="C10" s="266">
        <v>1.0449010000000001</v>
      </c>
      <c r="D10" s="266">
        <v>43.926600000000001</v>
      </c>
      <c r="E10" s="176">
        <v>54.822423933229999</v>
      </c>
      <c r="F10" s="176">
        <v>2304.6798797312599</v>
      </c>
      <c r="G10" s="198">
        <v>0.33013799999999999</v>
      </c>
      <c r="H10" s="176">
        <v>55.31500763519</v>
      </c>
      <c r="I10" s="266">
        <v>1.0477000000000001</v>
      </c>
      <c r="J10" s="266">
        <v>43.494199999999999</v>
      </c>
      <c r="K10" s="176">
        <v>57.953509781809998</v>
      </c>
      <c r="L10" s="176">
        <v>2405.8820050864601</v>
      </c>
      <c r="M10" s="198">
        <v>0.34274100000000002</v>
      </c>
      <c r="N10" s="176">
        <v>1.2603E-2</v>
      </c>
      <c r="O10" s="26"/>
      <c r="P10" s="26"/>
      <c r="Q10" s="26"/>
    </row>
    <row r="11" spans="1:19" outlineLevel="1" x14ac:dyDescent="0.3">
      <c r="A11" s="241" t="s">
        <v>201</v>
      </c>
      <c r="B11" s="176">
        <v>6.75</v>
      </c>
      <c r="C11" s="266">
        <v>0.69509500000000002</v>
      </c>
      <c r="D11" s="266">
        <v>29.2211</v>
      </c>
      <c r="E11" s="176">
        <v>4.6918914579299997</v>
      </c>
      <c r="F11" s="176">
        <v>197.242425</v>
      </c>
      <c r="G11" s="198">
        <v>2.8254000000000001E-2</v>
      </c>
      <c r="H11" s="176">
        <v>6.75</v>
      </c>
      <c r="I11" s="266">
        <v>0.69654799999999994</v>
      </c>
      <c r="J11" s="266">
        <v>28.916499999999999</v>
      </c>
      <c r="K11" s="176">
        <v>4.7017000289100004</v>
      </c>
      <c r="L11" s="176">
        <v>195.186375</v>
      </c>
      <c r="M11" s="198">
        <v>2.7806000000000001E-2</v>
      </c>
      <c r="N11" s="176">
        <v>-4.4799999999999999E-4</v>
      </c>
      <c r="O11" s="26"/>
      <c r="P11" s="26"/>
      <c r="Q11" s="26"/>
    </row>
    <row r="12" spans="1:19" outlineLevel="1" x14ac:dyDescent="0.3">
      <c r="A12" s="241" t="s">
        <v>202</v>
      </c>
      <c r="B12" s="176">
        <v>14.504647402</v>
      </c>
      <c r="C12" s="266">
        <v>1.304135</v>
      </c>
      <c r="D12" s="266">
        <v>54.824516000000003</v>
      </c>
      <c r="E12" s="176">
        <v>18.916013072719998</v>
      </c>
      <c r="F12" s="176">
        <v>795.21027356530999</v>
      </c>
      <c r="G12" s="198">
        <v>0.113911</v>
      </c>
      <c r="H12" s="176">
        <v>14.343639069</v>
      </c>
      <c r="I12" s="266">
        <v>1.3090029999999999</v>
      </c>
      <c r="J12" s="266">
        <v>54.341963999999997</v>
      </c>
      <c r="K12" s="176">
        <v>18.775871222140001</v>
      </c>
      <c r="L12" s="176">
        <v>779.46151791658997</v>
      </c>
      <c r="M12" s="198">
        <v>0.111042</v>
      </c>
      <c r="N12" s="176">
        <v>-2.869E-3</v>
      </c>
      <c r="O12" s="26"/>
      <c r="P12" s="26"/>
      <c r="Q12" s="26"/>
    </row>
    <row r="13" spans="1:19" outlineLevel="1" x14ac:dyDescent="0.3">
      <c r="A13" s="241" t="s">
        <v>203</v>
      </c>
      <c r="B13" s="176">
        <v>1768.4912718688199</v>
      </c>
      <c r="C13" s="266">
        <v>2.3786999999999999E-2</v>
      </c>
      <c r="D13" s="266">
        <v>1</v>
      </c>
      <c r="E13" s="176">
        <v>42.067872020700001</v>
      </c>
      <c r="F13" s="176">
        <v>1768.4912718688199</v>
      </c>
      <c r="G13" s="198">
        <v>0.25333</v>
      </c>
      <c r="H13" s="176">
        <v>1755.9704418010999</v>
      </c>
      <c r="I13" s="266">
        <v>2.4087999999999998E-2</v>
      </c>
      <c r="J13" s="266">
        <v>1</v>
      </c>
      <c r="K13" s="176">
        <v>42.298271469989999</v>
      </c>
      <c r="L13" s="176">
        <v>1755.9704418010999</v>
      </c>
      <c r="M13" s="198">
        <v>0.25015500000000002</v>
      </c>
      <c r="N13" s="176">
        <v>-3.176E-3</v>
      </c>
      <c r="O13" s="26"/>
      <c r="P13" s="26"/>
      <c r="Q13" s="26"/>
    </row>
    <row r="14" spans="1:19" outlineLevel="1" x14ac:dyDescent="0.3">
      <c r="A14" s="241" t="s">
        <v>204</v>
      </c>
      <c r="B14" s="176">
        <v>133.369163942</v>
      </c>
      <c r="C14" s="266">
        <v>6.3480000000000003E-3</v>
      </c>
      <c r="D14" s="266">
        <v>0.26684999999999998</v>
      </c>
      <c r="E14" s="176">
        <v>0.84658439538999997</v>
      </c>
      <c r="F14" s="176">
        <v>35.589561397920001</v>
      </c>
      <c r="G14" s="198">
        <v>5.0980000000000001E-3</v>
      </c>
      <c r="H14" s="176">
        <v>133.369163942</v>
      </c>
      <c r="I14" s="266">
        <v>6.685E-3</v>
      </c>
      <c r="J14" s="266">
        <v>0.27750999999999998</v>
      </c>
      <c r="K14" s="176">
        <v>0.89153723285999997</v>
      </c>
      <c r="L14" s="176">
        <v>37.011276685539997</v>
      </c>
      <c r="M14" s="198">
        <v>5.2729999999999999E-3</v>
      </c>
      <c r="N14" s="176">
        <v>1.75E-4</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2:17" x14ac:dyDescent="0.3">
      <c r="B17" s="25"/>
      <c r="C17" s="93"/>
      <c r="D17" s="93"/>
      <c r="E17" s="25"/>
      <c r="F17" s="25"/>
      <c r="G17" s="63"/>
      <c r="H17" s="25"/>
      <c r="I17" s="93"/>
      <c r="J17" s="93"/>
      <c r="K17" s="25"/>
      <c r="L17" s="25"/>
      <c r="M17" s="63"/>
      <c r="N17" s="25"/>
      <c r="O17" s="26"/>
      <c r="P17" s="26"/>
      <c r="Q17" s="26"/>
    </row>
    <row r="18" spans="2:17" x14ac:dyDescent="0.3">
      <c r="B18" s="25"/>
      <c r="C18" s="93"/>
      <c r="D18" s="93"/>
      <c r="E18" s="25"/>
      <c r="F18" s="25"/>
      <c r="G18" s="63"/>
      <c r="H18" s="25"/>
      <c r="I18" s="93"/>
      <c r="J18" s="93"/>
      <c r="K18" s="25"/>
      <c r="L18" s="25"/>
      <c r="M18" s="63"/>
      <c r="N18" s="25"/>
      <c r="O18" s="26"/>
      <c r="P18" s="26"/>
      <c r="Q18" s="26"/>
    </row>
    <row r="19" spans="2:17" x14ac:dyDescent="0.3">
      <c r="B19" s="25"/>
      <c r="C19" s="93"/>
      <c r="D19" s="93"/>
      <c r="E19" s="25"/>
      <c r="F19" s="25"/>
      <c r="G19" s="63"/>
      <c r="H19" s="25"/>
      <c r="I19" s="93"/>
      <c r="J19" s="93"/>
      <c r="K19" s="25"/>
      <c r="L19" s="25"/>
      <c r="M19" s="63"/>
      <c r="N19" s="25"/>
      <c r="O19" s="26"/>
      <c r="P19" s="26"/>
      <c r="Q19" s="26"/>
    </row>
    <row r="20" spans="2:17" x14ac:dyDescent="0.3">
      <c r="B20" s="25"/>
      <c r="C20" s="93"/>
      <c r="D20" s="93"/>
      <c r="E20" s="25"/>
      <c r="F20" s="25"/>
      <c r="G20" s="63"/>
      <c r="H20" s="25"/>
      <c r="I20" s="93"/>
      <c r="J20" s="93"/>
      <c r="K20" s="25"/>
      <c r="L20" s="25"/>
      <c r="M20" s="63"/>
      <c r="N20" s="25"/>
      <c r="O20" s="26"/>
      <c r="P20" s="26"/>
      <c r="Q20" s="26"/>
    </row>
    <row r="21" spans="2:17" x14ac:dyDescent="0.3">
      <c r="B21" s="25"/>
      <c r="C21" s="93"/>
      <c r="D21" s="93"/>
      <c r="E21" s="25"/>
      <c r="F21" s="25"/>
      <c r="G21" s="63"/>
      <c r="H21" s="25"/>
      <c r="I21" s="93"/>
      <c r="J21" s="93"/>
      <c r="K21" s="25"/>
      <c r="L21" s="25"/>
      <c r="M21" s="63"/>
      <c r="N21" s="25"/>
      <c r="O21" s="26"/>
      <c r="P21" s="26"/>
      <c r="Q21" s="26"/>
    </row>
    <row r="22" spans="2:17" x14ac:dyDescent="0.3">
      <c r="B22" s="25"/>
      <c r="C22" s="93"/>
      <c r="D22" s="93"/>
      <c r="E22" s="25"/>
      <c r="F22" s="25"/>
      <c r="G22" s="63"/>
      <c r="H22" s="25"/>
      <c r="I22" s="93"/>
      <c r="J22" s="93"/>
      <c r="K22" s="25"/>
      <c r="L22" s="25"/>
      <c r="M22" s="63"/>
      <c r="N22" s="25"/>
      <c r="O22" s="26"/>
      <c r="P22" s="26"/>
      <c r="Q22" s="26"/>
    </row>
    <row r="23" spans="2:17" x14ac:dyDescent="0.3">
      <c r="B23" s="25"/>
      <c r="C23" s="93"/>
      <c r="D23" s="93"/>
      <c r="E23" s="25"/>
      <c r="F23" s="25"/>
      <c r="G23" s="63"/>
      <c r="H23" s="25"/>
      <c r="I23" s="93"/>
      <c r="J23" s="93"/>
      <c r="K23" s="25"/>
      <c r="L23" s="25"/>
      <c r="M23" s="63"/>
      <c r="N23" s="25"/>
      <c r="O23" s="26"/>
      <c r="P23" s="26"/>
      <c r="Q23" s="26"/>
    </row>
    <row r="24" spans="2:17" x14ac:dyDescent="0.3">
      <c r="B24" s="25"/>
      <c r="C24" s="93"/>
      <c r="D24" s="93"/>
      <c r="E24" s="25"/>
      <c r="F24" s="25"/>
      <c r="G24" s="63"/>
      <c r="H24" s="25"/>
      <c r="I24" s="93"/>
      <c r="J24" s="93"/>
      <c r="K24" s="25"/>
      <c r="L24" s="25"/>
      <c r="M24" s="63"/>
      <c r="N24" s="25"/>
      <c r="O24" s="26"/>
      <c r="P24" s="26"/>
      <c r="Q24" s="26"/>
    </row>
    <row r="25" spans="2:17" x14ac:dyDescent="0.3">
      <c r="B25" s="25"/>
      <c r="C25" s="93"/>
      <c r="D25" s="93"/>
      <c r="E25" s="25"/>
      <c r="F25" s="25"/>
      <c r="G25" s="63"/>
      <c r="H25" s="25"/>
      <c r="I25" s="93"/>
      <c r="J25" s="93"/>
      <c r="K25" s="25"/>
      <c r="L25" s="25"/>
      <c r="M25" s="63"/>
      <c r="N25" s="25"/>
      <c r="O25" s="26"/>
      <c r="P25" s="26"/>
      <c r="Q25" s="26"/>
    </row>
    <row r="26" spans="2:17" x14ac:dyDescent="0.3">
      <c r="B26" s="25"/>
      <c r="C26" s="93"/>
      <c r="D26" s="93"/>
      <c r="E26" s="25"/>
      <c r="F26" s="25"/>
      <c r="G26" s="63"/>
      <c r="H26" s="25"/>
      <c r="I26" s="93"/>
      <c r="J26" s="93"/>
      <c r="K26" s="25"/>
      <c r="L26" s="25"/>
      <c r="M26" s="63"/>
      <c r="N26" s="25"/>
      <c r="O26" s="26"/>
      <c r="P26" s="26"/>
      <c r="Q26" s="26"/>
    </row>
    <row r="27" spans="2:17" x14ac:dyDescent="0.3">
      <c r="B27" s="25"/>
      <c r="C27" s="93"/>
      <c r="D27" s="93"/>
      <c r="E27" s="25"/>
      <c r="F27" s="25"/>
      <c r="G27" s="63"/>
      <c r="H27" s="25"/>
      <c r="I27" s="93"/>
      <c r="J27" s="93"/>
      <c r="K27" s="25"/>
      <c r="L27" s="25"/>
      <c r="M27" s="63"/>
      <c r="N27" s="25"/>
      <c r="O27" s="26"/>
      <c r="P27" s="26"/>
      <c r="Q27" s="26"/>
    </row>
    <row r="28" spans="2:17" x14ac:dyDescent="0.3">
      <c r="B28" s="25"/>
      <c r="C28" s="93"/>
      <c r="D28" s="93"/>
      <c r="E28" s="25"/>
      <c r="F28" s="25"/>
      <c r="G28" s="63"/>
      <c r="H28" s="25"/>
      <c r="I28" s="93"/>
      <c r="J28" s="93"/>
      <c r="K28" s="25"/>
      <c r="L28" s="25"/>
      <c r="M28" s="63"/>
      <c r="N28" s="25"/>
      <c r="O28" s="26"/>
      <c r="P28" s="26"/>
      <c r="Q28" s="26"/>
    </row>
    <row r="29" spans="2:17" x14ac:dyDescent="0.3">
      <c r="B29" s="25"/>
      <c r="C29" s="93"/>
      <c r="D29" s="93"/>
      <c r="E29" s="25"/>
      <c r="F29" s="25"/>
      <c r="G29" s="63"/>
      <c r="H29" s="25"/>
      <c r="I29" s="93"/>
      <c r="J29" s="93"/>
      <c r="K29" s="25"/>
      <c r="L29" s="25"/>
      <c r="M29" s="63"/>
      <c r="N29" s="25"/>
      <c r="O29" s="26"/>
      <c r="P29" s="26"/>
      <c r="Q29" s="26"/>
    </row>
    <row r="30" spans="2:17" x14ac:dyDescent="0.3">
      <c r="B30" s="25"/>
      <c r="C30" s="93"/>
      <c r="D30" s="93"/>
      <c r="E30" s="25"/>
      <c r="F30" s="25"/>
      <c r="G30" s="63"/>
      <c r="H30" s="25"/>
      <c r="I30" s="93"/>
      <c r="J30" s="93"/>
      <c r="K30" s="25"/>
      <c r="L30" s="25"/>
      <c r="M30" s="63"/>
      <c r="N30" s="25"/>
      <c r="O30" s="26"/>
      <c r="P30" s="26"/>
      <c r="Q30" s="26"/>
    </row>
    <row r="31" spans="2:17" x14ac:dyDescent="0.3">
      <c r="B31" s="25"/>
      <c r="C31" s="93"/>
      <c r="D31" s="93"/>
      <c r="E31" s="25"/>
      <c r="F31" s="25"/>
      <c r="G31" s="63"/>
      <c r="H31" s="25"/>
      <c r="I31" s="93"/>
      <c r="J31" s="93"/>
      <c r="K31" s="25"/>
      <c r="L31" s="25"/>
      <c r="M31" s="63"/>
      <c r="N31" s="25"/>
      <c r="O31" s="26"/>
      <c r="P31" s="26"/>
      <c r="Q31" s="26"/>
    </row>
    <row r="32" spans="2:17" x14ac:dyDescent="0.3">
      <c r="B32" s="25"/>
      <c r="C32" s="93"/>
      <c r="D32" s="93"/>
      <c r="E32" s="25"/>
      <c r="F32" s="25"/>
      <c r="G32" s="63"/>
      <c r="H32" s="25"/>
      <c r="I32" s="93"/>
      <c r="J32" s="93"/>
      <c r="K32" s="25"/>
      <c r="L32" s="25"/>
      <c r="M32" s="63"/>
      <c r="N32" s="25"/>
      <c r="O32" s="26"/>
      <c r="P32" s="26"/>
      <c r="Q32" s="26"/>
    </row>
    <row r="33" spans="2:17" x14ac:dyDescent="0.3">
      <c r="B33" s="25"/>
      <c r="C33" s="93"/>
      <c r="D33" s="93"/>
      <c r="E33" s="25"/>
      <c r="F33" s="25"/>
      <c r="G33" s="63"/>
      <c r="H33" s="25"/>
      <c r="I33" s="93"/>
      <c r="J33" s="93"/>
      <c r="K33" s="25"/>
      <c r="L33" s="25"/>
      <c r="M33" s="63"/>
      <c r="N33" s="25"/>
      <c r="O33" s="26"/>
      <c r="P33" s="26"/>
      <c r="Q33" s="26"/>
    </row>
    <row r="34" spans="2:17" x14ac:dyDescent="0.3">
      <c r="B34" s="25"/>
      <c r="C34" s="93"/>
      <c r="D34" s="93"/>
      <c r="E34" s="25"/>
      <c r="F34" s="25"/>
      <c r="G34" s="63"/>
      <c r="H34" s="25"/>
      <c r="I34" s="93"/>
      <c r="J34" s="93"/>
      <c r="K34" s="25"/>
      <c r="L34" s="25"/>
      <c r="M34" s="63"/>
      <c r="N34" s="25"/>
      <c r="O34" s="26"/>
      <c r="P34" s="26"/>
      <c r="Q34" s="26"/>
    </row>
    <row r="35" spans="2:17" x14ac:dyDescent="0.3">
      <c r="B35" s="25"/>
      <c r="C35" s="93"/>
      <c r="D35" s="93"/>
      <c r="E35" s="25"/>
      <c r="F35" s="25"/>
      <c r="G35" s="63"/>
      <c r="H35" s="25"/>
      <c r="I35" s="93"/>
      <c r="J35" s="93"/>
      <c r="K35" s="25"/>
      <c r="L35" s="25"/>
      <c r="M35" s="63"/>
      <c r="N35" s="25"/>
      <c r="O35" s="26"/>
      <c r="P35" s="26"/>
      <c r="Q35" s="26"/>
    </row>
    <row r="36" spans="2:17" x14ac:dyDescent="0.3">
      <c r="B36" s="25"/>
      <c r="C36" s="93"/>
      <c r="D36" s="93"/>
      <c r="E36" s="25"/>
      <c r="F36" s="25"/>
      <c r="G36" s="63"/>
      <c r="H36" s="25"/>
      <c r="I36" s="93"/>
      <c r="J36" s="93"/>
      <c r="K36" s="25"/>
      <c r="L36" s="25"/>
      <c r="M36" s="63"/>
      <c r="N36" s="25"/>
      <c r="O36" s="26"/>
      <c r="P36" s="26"/>
      <c r="Q36" s="26"/>
    </row>
    <row r="37" spans="2:17" x14ac:dyDescent="0.3">
      <c r="B37" s="25"/>
      <c r="C37" s="93"/>
      <c r="D37" s="93"/>
      <c r="E37" s="25"/>
      <c r="F37" s="25"/>
      <c r="G37" s="63"/>
      <c r="H37" s="25"/>
      <c r="I37" s="93"/>
      <c r="J37" s="93"/>
      <c r="K37" s="25"/>
      <c r="L37" s="25"/>
      <c r="M37" s="63"/>
      <c r="N37" s="25"/>
      <c r="O37" s="26"/>
      <c r="P37" s="26"/>
      <c r="Q37" s="26"/>
    </row>
    <row r="38" spans="2:17" x14ac:dyDescent="0.3">
      <c r="B38" s="25"/>
      <c r="C38" s="93"/>
      <c r="D38" s="93"/>
      <c r="E38" s="25"/>
      <c r="F38" s="25"/>
      <c r="G38" s="63"/>
      <c r="H38" s="25"/>
      <c r="I38" s="93"/>
      <c r="J38" s="93"/>
      <c r="K38" s="25"/>
      <c r="L38" s="25"/>
      <c r="M38" s="63"/>
      <c r="N38" s="25"/>
      <c r="O38" s="26"/>
      <c r="P38" s="26"/>
      <c r="Q38" s="26"/>
    </row>
    <row r="39" spans="2:17" x14ac:dyDescent="0.3">
      <c r="B39" s="25"/>
      <c r="C39" s="93"/>
      <c r="D39" s="93"/>
      <c r="E39" s="25"/>
      <c r="F39" s="25"/>
      <c r="G39" s="63"/>
      <c r="H39" s="25"/>
      <c r="I39" s="93"/>
      <c r="J39" s="93"/>
      <c r="K39" s="25"/>
      <c r="L39" s="25"/>
      <c r="M39" s="63"/>
      <c r="N39" s="25"/>
      <c r="O39" s="26"/>
      <c r="P39" s="26"/>
      <c r="Q39" s="26"/>
    </row>
    <row r="40" spans="2:17" x14ac:dyDescent="0.3">
      <c r="B40" s="25"/>
      <c r="C40" s="93"/>
      <c r="D40" s="93"/>
      <c r="E40" s="25"/>
      <c r="F40" s="25"/>
      <c r="G40" s="63"/>
      <c r="H40" s="25"/>
      <c r="I40" s="93"/>
      <c r="J40" s="93"/>
      <c r="K40" s="25"/>
      <c r="L40" s="25"/>
      <c r="M40" s="63"/>
      <c r="N40" s="25"/>
      <c r="O40" s="26"/>
      <c r="P40" s="26"/>
      <c r="Q40" s="26"/>
    </row>
    <row r="41" spans="2:17" x14ac:dyDescent="0.3">
      <c r="B41" s="25"/>
      <c r="C41" s="93"/>
      <c r="D41" s="93"/>
      <c r="E41" s="25"/>
      <c r="F41" s="25"/>
      <c r="G41" s="63"/>
      <c r="H41" s="25"/>
      <c r="I41" s="93"/>
      <c r="J41" s="93"/>
      <c r="K41" s="25"/>
      <c r="L41" s="25"/>
      <c r="M41" s="63"/>
      <c r="N41" s="25"/>
      <c r="O41" s="26"/>
      <c r="P41" s="26"/>
      <c r="Q41" s="26"/>
    </row>
    <row r="42" spans="2:17" x14ac:dyDescent="0.3">
      <c r="B42" s="25"/>
      <c r="C42" s="93"/>
      <c r="D42" s="93"/>
      <c r="E42" s="25"/>
      <c r="F42" s="25"/>
      <c r="G42" s="63"/>
      <c r="H42" s="25"/>
      <c r="I42" s="93"/>
      <c r="J42" s="93"/>
      <c r="K42" s="25"/>
      <c r="L42" s="25"/>
      <c r="M42" s="63"/>
      <c r="N42" s="25"/>
      <c r="O42" s="26"/>
      <c r="P42" s="26"/>
      <c r="Q42" s="26"/>
    </row>
    <row r="43" spans="2:17" x14ac:dyDescent="0.3">
      <c r="B43" s="25"/>
      <c r="C43" s="93"/>
      <c r="D43" s="93"/>
      <c r="E43" s="25"/>
      <c r="F43" s="25"/>
      <c r="G43" s="63"/>
      <c r="H43" s="25"/>
      <c r="I43" s="93"/>
      <c r="J43" s="93"/>
      <c r="K43" s="25"/>
      <c r="L43" s="25"/>
      <c r="M43" s="63"/>
      <c r="N43" s="25"/>
      <c r="O43" s="26"/>
      <c r="P43" s="26"/>
      <c r="Q43" s="26"/>
    </row>
    <row r="44" spans="2:17" x14ac:dyDescent="0.3">
      <c r="B44" s="25"/>
      <c r="C44" s="93"/>
      <c r="D44" s="93"/>
      <c r="E44" s="25"/>
      <c r="F44" s="25"/>
      <c r="G44" s="63"/>
      <c r="H44" s="25"/>
      <c r="I44" s="93"/>
      <c r="J44" s="93"/>
      <c r="K44" s="25"/>
      <c r="L44" s="25"/>
      <c r="M44" s="63"/>
      <c r="N44" s="25"/>
      <c r="O44" s="26"/>
      <c r="P44" s="26"/>
      <c r="Q44" s="26"/>
    </row>
    <row r="45" spans="2:17" x14ac:dyDescent="0.3">
      <c r="B45" s="25"/>
      <c r="C45" s="93"/>
      <c r="D45" s="93"/>
      <c r="E45" s="25"/>
      <c r="F45" s="25"/>
      <c r="G45" s="63"/>
      <c r="H45" s="25"/>
      <c r="I45" s="93"/>
      <c r="J45" s="93"/>
      <c r="K45" s="25"/>
      <c r="L45" s="25"/>
      <c r="M45" s="63"/>
      <c r="N45" s="25"/>
      <c r="O45" s="26"/>
      <c r="P45" s="26"/>
      <c r="Q45" s="26"/>
    </row>
    <row r="46" spans="2:17" x14ac:dyDescent="0.3">
      <c r="B46" s="25"/>
      <c r="C46" s="93"/>
      <c r="D46" s="93"/>
      <c r="E46" s="25"/>
      <c r="F46" s="25"/>
      <c r="G46" s="63"/>
      <c r="H46" s="25"/>
      <c r="I46" s="93"/>
      <c r="J46" s="93"/>
      <c r="K46" s="25"/>
      <c r="L46" s="25"/>
      <c r="M46" s="63"/>
      <c r="N46" s="25"/>
      <c r="O46" s="26"/>
      <c r="P46" s="26"/>
      <c r="Q46" s="26"/>
    </row>
    <row r="47" spans="2:17" x14ac:dyDescent="0.3">
      <c r="B47" s="25"/>
      <c r="C47" s="93"/>
      <c r="D47" s="93"/>
      <c r="E47" s="25"/>
      <c r="F47" s="25"/>
      <c r="G47" s="63"/>
      <c r="H47" s="25"/>
      <c r="I47" s="93"/>
      <c r="J47" s="93"/>
      <c r="K47" s="25"/>
      <c r="L47" s="25"/>
      <c r="M47" s="63"/>
      <c r="N47" s="25"/>
      <c r="O47" s="26"/>
      <c r="P47" s="26"/>
      <c r="Q47" s="26"/>
    </row>
    <row r="48" spans="2: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2" bestFit="1" customWidth="1"/>
    <col min="2" max="2" width="12.7265625" style="23" bestFit="1" customWidth="1"/>
    <col min="3" max="3" width="18.26953125" style="92" bestFit="1" customWidth="1"/>
    <col min="4" max="4" width="18.453125" style="92" bestFit="1" customWidth="1"/>
    <col min="5" max="5" width="13.453125" style="23" bestFit="1" customWidth="1"/>
    <col min="6" max="6" width="14.453125" style="23" bestFit="1" customWidth="1"/>
    <col min="7" max="7" width="10.7265625" style="72" bestFit="1" customWidth="1"/>
    <col min="8" max="8" width="12.7265625" style="23" bestFit="1" customWidth="1"/>
    <col min="9" max="9" width="18.26953125" style="92" bestFit="1" customWidth="1"/>
    <col min="10" max="10" width="18.453125" style="92" bestFit="1" customWidth="1"/>
    <col min="11" max="12" width="14.453125" style="23" bestFit="1" customWidth="1"/>
    <col min="13" max="13" width="10.7265625" style="72" bestFit="1" customWidth="1"/>
    <col min="14" max="14" width="16.1796875" style="23" bestFit="1" customWidth="1"/>
    <col min="15" max="15" width="9.1796875" style="22" customWidth="1"/>
    <col min="16" max="16384" width="9.1796875" style="22"/>
  </cols>
  <sheetData>
    <row r="2" spans="1:19" ht="18.5" x14ac:dyDescent="0.45">
      <c r="A2" s="1" t="str">
        <f>DEBT_CURR_STRUCT&amp;" "&amp;EXTENDED</f>
        <v>Валютна структура боргу на кінець попереднього року та на звітну дату (розширений)</v>
      </c>
      <c r="B2" s="280"/>
      <c r="C2" s="280"/>
      <c r="D2" s="280"/>
      <c r="E2" s="280"/>
      <c r="F2" s="280"/>
      <c r="G2" s="280"/>
      <c r="H2" s="280"/>
      <c r="I2" s="280"/>
      <c r="J2" s="280"/>
      <c r="K2" s="280"/>
      <c r="L2" s="280"/>
      <c r="M2" s="280"/>
      <c r="N2" s="280"/>
      <c r="O2" s="26"/>
      <c r="P2" s="26"/>
      <c r="Q2" s="26"/>
      <c r="R2" s="26"/>
      <c r="S2" s="26"/>
    </row>
    <row r="3" spans="1:19" x14ac:dyDescent="0.3">
      <c r="A3" s="24"/>
    </row>
    <row r="4" spans="1:19" s="27" customFormat="1" x14ac:dyDescent="0.3">
      <c r="B4" s="28"/>
      <c r="C4" s="94"/>
      <c r="D4" s="94"/>
      <c r="E4" s="28"/>
      <c r="F4" s="28"/>
      <c r="G4" s="67"/>
      <c r="H4" s="28"/>
      <c r="I4" s="94"/>
      <c r="J4" s="94"/>
      <c r="K4" s="28"/>
      <c r="L4" s="28"/>
      <c r="M4" s="67"/>
      <c r="N4" s="27" t="str">
        <f>VALVAL</f>
        <v>млрд. одиниць</v>
      </c>
    </row>
    <row r="5" spans="1:19" s="53" customFormat="1" x14ac:dyDescent="0.25">
      <c r="A5" s="78"/>
      <c r="B5" s="286">
        <v>45657</v>
      </c>
      <c r="C5" s="287"/>
      <c r="D5" s="287"/>
      <c r="E5" s="287"/>
      <c r="F5" s="287"/>
      <c r="G5" s="288"/>
      <c r="H5" s="286">
        <v>45716</v>
      </c>
      <c r="I5" s="287"/>
      <c r="J5" s="287"/>
      <c r="K5" s="287"/>
      <c r="L5" s="287"/>
      <c r="M5" s="288"/>
      <c r="N5" s="79"/>
    </row>
    <row r="6" spans="1:19" s="80" customFormat="1" x14ac:dyDescent="0.25">
      <c r="A6" s="12"/>
      <c r="B6" s="68" t="str">
        <f>ORIGINAL</f>
        <v>оріг.</v>
      </c>
      <c r="C6" s="95" t="str">
        <f>EXCH_RATE_TO_USD</f>
        <v>курс до USD</v>
      </c>
      <c r="D6" s="95" t="str">
        <f>EXCH_RATE_TO_UAH</f>
        <v>курс до UAH</v>
      </c>
      <c r="E6" s="68" t="str">
        <f>USD</f>
        <v>дол.США</v>
      </c>
      <c r="F6" s="68" t="str">
        <f>UAH</f>
        <v>грн.</v>
      </c>
      <c r="G6" s="69" t="s">
        <v>0</v>
      </c>
      <c r="H6" s="68" t="str">
        <f>ORIGINAL</f>
        <v>оріг.</v>
      </c>
      <c r="I6" s="95" t="str">
        <f>EXCH_RATE_TO_USD</f>
        <v>курс до USD</v>
      </c>
      <c r="J6" s="95" t="str">
        <f>EXCH_RATE_TO_UAH</f>
        <v>курс до UAH</v>
      </c>
      <c r="K6" s="68" t="str">
        <f>USD</f>
        <v>дол.США</v>
      </c>
      <c r="L6" s="68" t="str">
        <f>UAH</f>
        <v>грн.</v>
      </c>
      <c r="M6" s="69" t="s">
        <v>0</v>
      </c>
      <c r="N6" s="68" t="str">
        <f>CHANGE_OF_STRUCTURE</f>
        <v>Зміна структури</v>
      </c>
    </row>
    <row r="7" spans="1:19" s="15" customFormat="1" ht="14.5" x14ac:dyDescent="0.25">
      <c r="A7" s="152" t="str">
        <f>DEBT_TOTAL</f>
        <v>Загальна сума державного та гарантованого державою боргу</v>
      </c>
      <c r="B7" s="43"/>
      <c r="C7" s="97"/>
      <c r="D7" s="97"/>
      <c r="E7" s="43">
        <f>SUM(E8:E24)</f>
        <v>166.05925130834001</v>
      </c>
      <c r="F7" s="43">
        <f>SUM(F8:F24)</f>
        <v>6980.96486574559</v>
      </c>
      <c r="G7" s="98">
        <f>SUM(G8:G24)</f>
        <v>0.99999900000000008</v>
      </c>
      <c r="H7" s="43"/>
      <c r="I7" s="97"/>
      <c r="J7" s="97"/>
      <c r="K7" s="43">
        <f>SUM(K8:K24)</f>
        <v>169.08837600779998</v>
      </c>
      <c r="L7" s="43">
        <f>SUM(L8:L24)</f>
        <v>7019.5348415889603</v>
      </c>
      <c r="M7" s="98">
        <f>SUM(M8:M24)</f>
        <v>1.0000010000000001</v>
      </c>
      <c r="N7" s="43">
        <f>SUM(N8:N24)</f>
        <v>0</v>
      </c>
    </row>
    <row r="8" spans="1:19" s="38" customFormat="1" outlineLevel="1" x14ac:dyDescent="0.25">
      <c r="A8" s="160" t="s">
        <v>198</v>
      </c>
      <c r="B8" s="166">
        <v>0.15155301451</v>
      </c>
      <c r="C8" s="265">
        <v>1.25945</v>
      </c>
      <c r="D8" s="265">
        <v>52.945999999999998</v>
      </c>
      <c r="E8" s="166">
        <v>0.19087337725</v>
      </c>
      <c r="F8" s="166">
        <v>8.0241259062499992</v>
      </c>
      <c r="G8" s="230">
        <v>1.1490000000000001E-3</v>
      </c>
      <c r="H8" s="166">
        <v>0.15155301451</v>
      </c>
      <c r="I8" s="265">
        <v>1.2669509999999999</v>
      </c>
      <c r="J8" s="265">
        <v>52.596200000000003</v>
      </c>
      <c r="K8" s="166">
        <v>0.19201022937000001</v>
      </c>
      <c r="L8" s="166">
        <v>7.9711126617700003</v>
      </c>
      <c r="M8" s="230">
        <v>1.1360000000000001E-3</v>
      </c>
      <c r="N8" s="166">
        <v>-1.4E-5</v>
      </c>
    </row>
    <row r="9" spans="1:19" outlineLevel="1" x14ac:dyDescent="0.3">
      <c r="A9" s="241" t="s">
        <v>199</v>
      </c>
      <c r="B9" s="176">
        <v>44.523593051120002</v>
      </c>
      <c r="C9" s="266">
        <v>1</v>
      </c>
      <c r="D9" s="266">
        <v>42.039000000000001</v>
      </c>
      <c r="E9" s="176">
        <v>44.523593051120002</v>
      </c>
      <c r="F9" s="176">
        <v>1871.72732827603</v>
      </c>
      <c r="G9" s="198">
        <v>0.268119</v>
      </c>
      <c r="H9" s="176">
        <v>44.275476042720001</v>
      </c>
      <c r="I9" s="266">
        <v>1</v>
      </c>
      <c r="J9" s="266">
        <v>41.514000000000003</v>
      </c>
      <c r="K9" s="176">
        <v>44.275476042720001</v>
      </c>
      <c r="L9" s="176">
        <v>1838.0521124375</v>
      </c>
      <c r="M9" s="198">
        <v>0.26184800000000003</v>
      </c>
      <c r="N9" s="176">
        <v>-6.2709999999999997E-3</v>
      </c>
      <c r="O9" s="26"/>
      <c r="P9" s="26"/>
      <c r="Q9" s="26"/>
    </row>
    <row r="10" spans="1:19" outlineLevel="1" x14ac:dyDescent="0.3">
      <c r="A10" s="241" t="s">
        <v>200</v>
      </c>
      <c r="B10" s="176">
        <v>52.466612023949999</v>
      </c>
      <c r="C10" s="266">
        <v>1.0449010000000001</v>
      </c>
      <c r="D10" s="266">
        <v>43.926600000000001</v>
      </c>
      <c r="E10" s="176">
        <v>54.822423933229999</v>
      </c>
      <c r="F10" s="176">
        <v>2304.6798797312599</v>
      </c>
      <c r="G10" s="198">
        <v>0.33013799999999999</v>
      </c>
      <c r="H10" s="176">
        <v>55.31500763519</v>
      </c>
      <c r="I10" s="266">
        <v>1.0477000000000001</v>
      </c>
      <c r="J10" s="266">
        <v>43.494199999999999</v>
      </c>
      <c r="K10" s="176">
        <v>57.953509781809998</v>
      </c>
      <c r="L10" s="176">
        <v>2405.8820050864601</v>
      </c>
      <c r="M10" s="198">
        <v>0.34274100000000002</v>
      </c>
      <c r="N10" s="176">
        <v>1.2603E-2</v>
      </c>
      <c r="O10" s="26"/>
      <c r="P10" s="26"/>
      <c r="Q10" s="26"/>
    </row>
    <row r="11" spans="1:19" outlineLevel="1" x14ac:dyDescent="0.3">
      <c r="A11" s="241" t="s">
        <v>201</v>
      </c>
      <c r="B11" s="176">
        <v>6.75</v>
      </c>
      <c r="C11" s="266">
        <v>0.69509500000000002</v>
      </c>
      <c r="D11" s="266">
        <v>29.2211</v>
      </c>
      <c r="E11" s="176">
        <v>4.6918914579299997</v>
      </c>
      <c r="F11" s="176">
        <v>197.242425</v>
      </c>
      <c r="G11" s="198">
        <v>2.8254000000000001E-2</v>
      </c>
      <c r="H11" s="176">
        <v>6.75</v>
      </c>
      <c r="I11" s="266">
        <v>0.69654799999999994</v>
      </c>
      <c r="J11" s="266">
        <v>28.916499999999999</v>
      </c>
      <c r="K11" s="176">
        <v>4.7017000289100004</v>
      </c>
      <c r="L11" s="176">
        <v>195.186375</v>
      </c>
      <c r="M11" s="198">
        <v>2.7806000000000001E-2</v>
      </c>
      <c r="N11" s="176">
        <v>-4.4799999999999999E-4</v>
      </c>
      <c r="O11" s="26"/>
      <c r="P11" s="26"/>
      <c r="Q11" s="26"/>
    </row>
    <row r="12" spans="1:19" outlineLevel="1" x14ac:dyDescent="0.3">
      <c r="A12" s="241" t="s">
        <v>202</v>
      </c>
      <c r="B12" s="176">
        <v>14.504647402</v>
      </c>
      <c r="C12" s="266">
        <v>1.304135</v>
      </c>
      <c r="D12" s="266">
        <v>54.824516000000003</v>
      </c>
      <c r="E12" s="176">
        <v>18.916013072719998</v>
      </c>
      <c r="F12" s="176">
        <v>795.21027356530999</v>
      </c>
      <c r="G12" s="198">
        <v>0.113911</v>
      </c>
      <c r="H12" s="176">
        <v>14.343639069</v>
      </c>
      <c r="I12" s="266">
        <v>1.3090029999999999</v>
      </c>
      <c r="J12" s="266">
        <v>54.341963999999997</v>
      </c>
      <c r="K12" s="176">
        <v>18.775871222140001</v>
      </c>
      <c r="L12" s="176">
        <v>779.46151791658997</v>
      </c>
      <c r="M12" s="198">
        <v>0.111042</v>
      </c>
      <c r="N12" s="176">
        <v>-2.869E-3</v>
      </c>
      <c r="O12" s="26"/>
      <c r="P12" s="26"/>
      <c r="Q12" s="26"/>
    </row>
    <row r="13" spans="1:19" outlineLevel="1" x14ac:dyDescent="0.3">
      <c r="A13" s="241" t="s">
        <v>203</v>
      </c>
      <c r="B13" s="176">
        <v>1768.4912718688199</v>
      </c>
      <c r="C13" s="266">
        <v>2.3786999999999999E-2</v>
      </c>
      <c r="D13" s="266">
        <v>1</v>
      </c>
      <c r="E13" s="176">
        <v>42.067872020700001</v>
      </c>
      <c r="F13" s="176">
        <v>1768.4912718688199</v>
      </c>
      <c r="G13" s="198">
        <v>0.25333</v>
      </c>
      <c r="H13" s="176">
        <v>1755.9704418010999</v>
      </c>
      <c r="I13" s="266">
        <v>2.4087999999999998E-2</v>
      </c>
      <c r="J13" s="266">
        <v>1</v>
      </c>
      <c r="K13" s="176">
        <v>42.298271469989999</v>
      </c>
      <c r="L13" s="176">
        <v>1755.9704418010999</v>
      </c>
      <c r="M13" s="198">
        <v>0.25015500000000002</v>
      </c>
      <c r="N13" s="176">
        <v>-3.176E-3</v>
      </c>
      <c r="O13" s="26"/>
      <c r="P13" s="26"/>
      <c r="Q13" s="26"/>
    </row>
    <row r="14" spans="1:19" outlineLevel="1" x14ac:dyDescent="0.3">
      <c r="A14" s="241" t="s">
        <v>204</v>
      </c>
      <c r="B14" s="176">
        <v>133.369163942</v>
      </c>
      <c r="C14" s="266">
        <v>6.3480000000000003E-3</v>
      </c>
      <c r="D14" s="266">
        <v>0.26684999999999998</v>
      </c>
      <c r="E14" s="176">
        <v>0.84658439538999997</v>
      </c>
      <c r="F14" s="176">
        <v>35.589561397920001</v>
      </c>
      <c r="G14" s="198">
        <v>5.0980000000000001E-3</v>
      </c>
      <c r="H14" s="176">
        <v>133.369163942</v>
      </c>
      <c r="I14" s="266">
        <v>6.685E-3</v>
      </c>
      <c r="J14" s="266">
        <v>0.27750999999999998</v>
      </c>
      <c r="K14" s="176">
        <v>0.89153723285999997</v>
      </c>
      <c r="L14" s="176">
        <v>37.011276685539997</v>
      </c>
      <c r="M14" s="198">
        <v>5.2729999999999999E-3</v>
      </c>
      <c r="N14" s="176">
        <v>1.75E-4</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1:19" x14ac:dyDescent="0.3">
      <c r="B17" s="25"/>
      <c r="C17" s="93"/>
      <c r="D17" s="93"/>
      <c r="E17" s="25"/>
      <c r="F17" s="25"/>
      <c r="G17" s="63"/>
      <c r="H17" s="25"/>
      <c r="I17" s="93"/>
      <c r="J17" s="93"/>
      <c r="K17" s="25"/>
      <c r="L17" s="25"/>
      <c r="M17" s="63"/>
      <c r="N17" s="25"/>
      <c r="O17" s="26"/>
      <c r="P17" s="26"/>
      <c r="Q17" s="26"/>
    </row>
    <row r="18" spans="1:19" x14ac:dyDescent="0.3">
      <c r="B18" s="25"/>
      <c r="C18" s="93"/>
      <c r="D18" s="93"/>
      <c r="E18" s="25"/>
      <c r="F18" s="25"/>
      <c r="G18" s="63"/>
      <c r="H18" s="25"/>
      <c r="I18" s="93"/>
      <c r="J18" s="93"/>
      <c r="K18" s="25"/>
      <c r="L18" s="25"/>
      <c r="M18" s="63"/>
      <c r="N18" s="25"/>
      <c r="O18" s="26"/>
      <c r="P18" s="26"/>
      <c r="Q18" s="26"/>
    </row>
    <row r="19" spans="1:19" x14ac:dyDescent="0.3">
      <c r="B19" s="25"/>
      <c r="C19" s="93"/>
      <c r="D19" s="93"/>
      <c r="E19" s="25"/>
      <c r="F19" s="25"/>
      <c r="G19" s="63"/>
      <c r="H19" s="25"/>
      <c r="I19" s="93"/>
      <c r="J19" s="93"/>
      <c r="K19" s="25"/>
      <c r="L19" s="25"/>
      <c r="M19" s="63"/>
      <c r="N19" s="25"/>
      <c r="O19" s="26"/>
      <c r="P19" s="26"/>
      <c r="Q19" s="26"/>
    </row>
    <row r="20" spans="1:19" x14ac:dyDescent="0.3">
      <c r="B20" s="25"/>
      <c r="C20" s="93"/>
      <c r="D20" s="93"/>
      <c r="E20" s="25"/>
      <c r="F20" s="25"/>
      <c r="G20" s="63"/>
      <c r="H20" s="25"/>
      <c r="I20" s="93"/>
      <c r="J20" s="93"/>
      <c r="K20" s="25"/>
      <c r="L20" s="25"/>
      <c r="M20" s="63"/>
      <c r="N20" s="25"/>
      <c r="O20" s="26"/>
      <c r="P20" s="26"/>
      <c r="Q20" s="26"/>
    </row>
    <row r="21" spans="1:19" x14ac:dyDescent="0.3">
      <c r="B21" s="25"/>
      <c r="C21" s="93"/>
      <c r="D21" s="93"/>
      <c r="E21" s="25"/>
      <c r="F21" s="25"/>
      <c r="G21" s="63"/>
      <c r="H21" s="25"/>
      <c r="I21" s="93"/>
      <c r="J21" s="93"/>
      <c r="K21" s="25"/>
      <c r="L21" s="25"/>
      <c r="M21" s="63"/>
      <c r="N21" s="25"/>
      <c r="O21" s="26"/>
      <c r="P21" s="26"/>
      <c r="Q21" s="26"/>
    </row>
    <row r="22" spans="1:19" x14ac:dyDescent="0.3">
      <c r="B22" s="25"/>
      <c r="C22" s="93"/>
      <c r="D22" s="93"/>
      <c r="E22" s="25"/>
      <c r="F22" s="25"/>
      <c r="G22" s="63"/>
      <c r="H22" s="25"/>
      <c r="I22" s="93"/>
      <c r="J22" s="93"/>
      <c r="K22" s="25"/>
      <c r="L22" s="25"/>
      <c r="M22" s="63"/>
      <c r="N22" s="25"/>
      <c r="O22" s="26"/>
      <c r="P22" s="26"/>
      <c r="Q22" s="26"/>
    </row>
    <row r="23" spans="1:19" x14ac:dyDescent="0.3">
      <c r="B23" s="25"/>
      <c r="C23" s="93"/>
      <c r="D23" s="93"/>
      <c r="E23" s="25"/>
      <c r="F23" s="25"/>
      <c r="G23" s="63"/>
      <c r="H23" s="25"/>
      <c r="I23" s="93"/>
      <c r="J23" s="93"/>
      <c r="K23" s="25"/>
      <c r="L23" s="25"/>
      <c r="M23" s="63"/>
      <c r="N23" s="27" t="str">
        <f>VALVAL</f>
        <v>млрд. одиниць</v>
      </c>
      <c r="O23" s="26"/>
      <c r="P23" s="26"/>
      <c r="Q23" s="26"/>
    </row>
    <row r="24" spans="1:19" x14ac:dyDescent="0.3">
      <c r="A24" s="78"/>
      <c r="B24" s="283">
        <v>45657</v>
      </c>
      <c r="C24" s="284"/>
      <c r="D24" s="284"/>
      <c r="E24" s="284"/>
      <c r="F24" s="284"/>
      <c r="G24" s="285"/>
      <c r="H24" s="283">
        <v>45716</v>
      </c>
      <c r="I24" s="284"/>
      <c r="J24" s="284"/>
      <c r="K24" s="284"/>
      <c r="L24" s="284"/>
      <c r="M24" s="285"/>
      <c r="N24" s="79"/>
      <c r="O24" s="53"/>
      <c r="P24" s="53"/>
      <c r="Q24" s="53"/>
      <c r="R24" s="53"/>
      <c r="S24" s="53"/>
    </row>
    <row r="25" spans="1:19" s="83" customFormat="1" x14ac:dyDescent="0.3">
      <c r="A25" s="81"/>
      <c r="B25" s="68" t="str">
        <f>ORIGINAL</f>
        <v>оріг.</v>
      </c>
      <c r="C25" s="95" t="str">
        <f>EXCH_RATE_TO_USD</f>
        <v>курс до USD</v>
      </c>
      <c r="D25" s="95" t="str">
        <f>EXCH_RATE_TO_UAH</f>
        <v>курс до UAH</v>
      </c>
      <c r="E25" s="68" t="str">
        <f>USD</f>
        <v>дол.США</v>
      </c>
      <c r="F25" s="68" t="str">
        <f>UAH</f>
        <v>грн.</v>
      </c>
      <c r="G25" s="69" t="s">
        <v>0</v>
      </c>
      <c r="H25" s="68" t="str">
        <f>ORIGINAL</f>
        <v>оріг.</v>
      </c>
      <c r="I25" s="95" t="str">
        <f>EXCH_RATE_TO_USD</f>
        <v>курс до USD</v>
      </c>
      <c r="J25" s="95" t="str">
        <f>EXCH_RATE_TO_UAH</f>
        <v>курс до UAH</v>
      </c>
      <c r="K25" s="68" t="str">
        <f>USD</f>
        <v>дол.США</v>
      </c>
      <c r="L25" s="68" t="str">
        <f>UAH</f>
        <v>грн.</v>
      </c>
      <c r="M25" s="69" t="s">
        <v>0</v>
      </c>
      <c r="N25" s="68" t="str">
        <f>CHANGE_OF_STRUCTURE</f>
        <v>Зміна структури</v>
      </c>
      <c r="O25" s="82"/>
      <c r="P25" s="82"/>
      <c r="Q25" s="82"/>
    </row>
    <row r="26" spans="1:19" s="36" customFormat="1" ht="14.5" x14ac:dyDescent="0.35">
      <c r="A26" s="154" t="str">
        <f>DEBT_TOTAL</f>
        <v>Загальна сума державного та гарантованого державою боргу</v>
      </c>
      <c r="B26" s="91">
        <f t="shared" ref="B26:N26" si="0">B$35+B$27</f>
        <v>2020.2568413023998</v>
      </c>
      <c r="C26" s="99">
        <f t="shared" si="0"/>
        <v>8.7065390000000011</v>
      </c>
      <c r="D26" s="99">
        <f t="shared" si="0"/>
        <v>366.01418200000001</v>
      </c>
      <c r="E26" s="91">
        <f t="shared" si="0"/>
        <v>166.05925130834001</v>
      </c>
      <c r="F26" s="91">
        <f t="shared" si="0"/>
        <v>6980.96486574559</v>
      </c>
      <c r="G26" s="100">
        <f t="shared" si="0"/>
        <v>1.0000000000000002</v>
      </c>
      <c r="H26" s="91">
        <f t="shared" si="0"/>
        <v>2010.1752815045202</v>
      </c>
      <c r="I26" s="99">
        <f t="shared" si="0"/>
        <v>8.7317659999999986</v>
      </c>
      <c r="J26" s="99">
        <f t="shared" si="0"/>
        <v>362.49053800000002</v>
      </c>
      <c r="K26" s="91">
        <f t="shared" si="0"/>
        <v>169.08837600779998</v>
      </c>
      <c r="L26" s="91">
        <f t="shared" si="0"/>
        <v>7019.5348415889603</v>
      </c>
      <c r="M26" s="100">
        <f t="shared" si="0"/>
        <v>1.0000009999999999</v>
      </c>
      <c r="N26" s="91">
        <f t="shared" si="0"/>
        <v>-9.9999999999904852E-7</v>
      </c>
      <c r="O26" s="35"/>
      <c r="P26" s="35"/>
      <c r="Q26" s="35"/>
    </row>
    <row r="27" spans="1:19" s="62" customFormat="1" ht="14.5" outlineLevel="1" x14ac:dyDescent="0.35">
      <c r="A27" s="256" t="s">
        <v>1</v>
      </c>
      <c r="B27" s="262">
        <f t="shared" ref="B27:N27" si="1">SUM(B$28:B$34)</f>
        <v>1955.5584944034699</v>
      </c>
      <c r="C27" s="267">
        <f t="shared" si="1"/>
        <v>5.3337160000000008</v>
      </c>
      <c r="D27" s="267">
        <f t="shared" si="1"/>
        <v>224.22406600000002</v>
      </c>
      <c r="E27" s="262">
        <f t="shared" si="1"/>
        <v>159.19631191121002</v>
      </c>
      <c r="F27" s="262">
        <f t="shared" si="1"/>
        <v>6692.4537564279799</v>
      </c>
      <c r="G27" s="268">
        <f t="shared" si="1"/>
        <v>0.95867100000000016</v>
      </c>
      <c r="H27" s="262">
        <f t="shared" si="1"/>
        <v>1940.8516307105401</v>
      </c>
      <c r="I27" s="267">
        <f t="shared" si="1"/>
        <v>5.3509749999999991</v>
      </c>
      <c r="J27" s="267">
        <f t="shared" si="1"/>
        <v>222.14037399999998</v>
      </c>
      <c r="K27" s="262">
        <f t="shared" si="1"/>
        <v>162.35879084801999</v>
      </c>
      <c r="L27" s="262">
        <f t="shared" si="1"/>
        <v>6740.16284326606</v>
      </c>
      <c r="M27" s="268">
        <f t="shared" si="1"/>
        <v>0.96020199999999989</v>
      </c>
      <c r="N27" s="262">
        <f t="shared" si="1"/>
        <v>1.5290000000000011E-3</v>
      </c>
      <c r="O27" s="61"/>
      <c r="P27" s="61"/>
      <c r="Q27" s="61"/>
    </row>
    <row r="28" spans="1:19" s="40" customFormat="1" outlineLevel="2" x14ac:dyDescent="0.3">
      <c r="A28" s="245" t="s">
        <v>198</v>
      </c>
      <c r="B28" s="161">
        <v>0.15155301451</v>
      </c>
      <c r="C28" s="269">
        <v>1.25945</v>
      </c>
      <c r="D28" s="269">
        <v>52.945999999999998</v>
      </c>
      <c r="E28" s="161">
        <v>0.19087337725</v>
      </c>
      <c r="F28" s="161">
        <v>8.0241259062499992</v>
      </c>
      <c r="G28" s="164">
        <v>1.1490000000000001E-3</v>
      </c>
      <c r="H28" s="161">
        <v>0.15155301451</v>
      </c>
      <c r="I28" s="269">
        <v>1.2669509999999999</v>
      </c>
      <c r="J28" s="269">
        <v>52.596200000000003</v>
      </c>
      <c r="K28" s="161">
        <v>0.19201022937000001</v>
      </c>
      <c r="L28" s="161">
        <v>7.9711126617700003</v>
      </c>
      <c r="M28" s="164">
        <v>1.1360000000000001E-3</v>
      </c>
      <c r="N28" s="161">
        <v>-1.4E-5</v>
      </c>
      <c r="O28" s="39"/>
      <c r="P28" s="39"/>
      <c r="Q28" s="39"/>
    </row>
    <row r="29" spans="1:19" outlineLevel="2" x14ac:dyDescent="0.3">
      <c r="A29" s="255" t="s">
        <v>199</v>
      </c>
      <c r="B29" s="176">
        <v>41.946064231139999</v>
      </c>
      <c r="C29" s="266">
        <v>1</v>
      </c>
      <c r="D29" s="266">
        <v>42.039000000000001</v>
      </c>
      <c r="E29" s="176">
        <v>41.946064231139999</v>
      </c>
      <c r="F29" s="176">
        <v>1763.3705942129</v>
      </c>
      <c r="G29" s="198">
        <v>0.25259700000000002</v>
      </c>
      <c r="H29" s="176">
        <v>41.723724644720001</v>
      </c>
      <c r="I29" s="266">
        <v>1</v>
      </c>
      <c r="J29" s="266">
        <v>41.514000000000003</v>
      </c>
      <c r="K29" s="176">
        <v>41.723724644720001</v>
      </c>
      <c r="L29" s="176">
        <v>1732.11870490093</v>
      </c>
      <c r="M29" s="198">
        <v>0.246757</v>
      </c>
      <c r="N29" s="176">
        <v>-5.8399999999999997E-3</v>
      </c>
      <c r="O29" s="26"/>
      <c r="P29" s="26"/>
      <c r="Q29" s="26"/>
    </row>
    <row r="30" spans="1:19" outlineLevel="2" x14ac:dyDescent="0.3">
      <c r="A30" s="255" t="s">
        <v>200</v>
      </c>
      <c r="B30" s="176">
        <v>50.919345482040001</v>
      </c>
      <c r="C30" s="266">
        <v>1.0449010000000001</v>
      </c>
      <c r="D30" s="266">
        <v>43.926600000000001</v>
      </c>
      <c r="E30" s="176">
        <v>53.205683323819997</v>
      </c>
      <c r="F30" s="176">
        <v>2236.7137212514099</v>
      </c>
      <c r="G30" s="198">
        <v>0.32040200000000002</v>
      </c>
      <c r="H30" s="176">
        <v>53.884944375529997</v>
      </c>
      <c r="I30" s="266">
        <v>1.0477000000000001</v>
      </c>
      <c r="J30" s="266">
        <v>43.494199999999999</v>
      </c>
      <c r="K30" s="176">
        <v>56.455233117829998</v>
      </c>
      <c r="L30" s="176">
        <v>2343.6825476581698</v>
      </c>
      <c r="M30" s="198">
        <v>0.33388000000000001</v>
      </c>
      <c r="N30" s="176">
        <v>1.3478E-2</v>
      </c>
      <c r="O30" s="26"/>
      <c r="P30" s="26"/>
      <c r="Q30" s="26"/>
    </row>
    <row r="31" spans="1:19" outlineLevel="2" x14ac:dyDescent="0.3">
      <c r="A31" s="255" t="s">
        <v>201</v>
      </c>
      <c r="B31" s="176">
        <v>6.75</v>
      </c>
      <c r="C31" s="266">
        <v>0.69509500000000002</v>
      </c>
      <c r="D31" s="266">
        <v>29.2211</v>
      </c>
      <c r="E31" s="176">
        <v>4.6918914579299997</v>
      </c>
      <c r="F31" s="176">
        <v>197.242425</v>
      </c>
      <c r="G31" s="198">
        <v>2.8254000000000001E-2</v>
      </c>
      <c r="H31" s="176">
        <v>6.75</v>
      </c>
      <c r="I31" s="266">
        <v>0.69654799999999994</v>
      </c>
      <c r="J31" s="266">
        <v>28.916499999999999</v>
      </c>
      <c r="K31" s="176">
        <v>4.7017000289100004</v>
      </c>
      <c r="L31" s="176">
        <v>195.186375</v>
      </c>
      <c r="M31" s="198">
        <v>2.7806000000000001E-2</v>
      </c>
      <c r="N31" s="176">
        <v>-4.4799999999999999E-4</v>
      </c>
      <c r="O31" s="26"/>
      <c r="P31" s="26"/>
      <c r="Q31" s="26"/>
    </row>
    <row r="32" spans="1:19" outlineLevel="2" x14ac:dyDescent="0.3">
      <c r="A32" s="255" t="s">
        <v>202</v>
      </c>
      <c r="B32" s="176">
        <v>13.545703985999999</v>
      </c>
      <c r="C32" s="266">
        <v>1.304135</v>
      </c>
      <c r="D32" s="266">
        <v>54.824516000000003</v>
      </c>
      <c r="E32" s="176">
        <v>17.665421749109999</v>
      </c>
      <c r="F32" s="176">
        <v>742.63666491172</v>
      </c>
      <c r="G32" s="198">
        <v>0.10638</v>
      </c>
      <c r="H32" s="176">
        <v>13.483203985999999</v>
      </c>
      <c r="I32" s="266">
        <v>1.3090029999999999</v>
      </c>
      <c r="J32" s="266">
        <v>54.341963999999997</v>
      </c>
      <c r="K32" s="176">
        <v>17.649558838250002</v>
      </c>
      <c r="L32" s="176">
        <v>732.70378561186999</v>
      </c>
      <c r="M32" s="198">
        <v>0.104381</v>
      </c>
      <c r="N32" s="176">
        <v>-2E-3</v>
      </c>
      <c r="O32" s="26"/>
      <c r="P32" s="26"/>
      <c r="Q32" s="26"/>
    </row>
    <row r="33" spans="1:17" outlineLevel="2" x14ac:dyDescent="0.3">
      <c r="A33" s="255" t="s">
        <v>203</v>
      </c>
      <c r="B33" s="176">
        <v>1708.87666374778</v>
      </c>
      <c r="C33" s="266">
        <v>2.3786999999999999E-2</v>
      </c>
      <c r="D33" s="266">
        <v>1</v>
      </c>
      <c r="E33" s="176">
        <v>40.649793376570003</v>
      </c>
      <c r="F33" s="176">
        <v>1708.87666374778</v>
      </c>
      <c r="G33" s="198">
        <v>0.24479100000000001</v>
      </c>
      <c r="H33" s="176">
        <v>1691.4890407477801</v>
      </c>
      <c r="I33" s="266">
        <v>2.4087999999999998E-2</v>
      </c>
      <c r="J33" s="266">
        <v>1</v>
      </c>
      <c r="K33" s="176">
        <v>40.745026756080001</v>
      </c>
      <c r="L33" s="176">
        <v>1691.4890407477801</v>
      </c>
      <c r="M33" s="198">
        <v>0.24096899999999999</v>
      </c>
      <c r="N33" s="176">
        <v>-3.8219999999999999E-3</v>
      </c>
      <c r="O33" s="26"/>
      <c r="P33" s="26"/>
      <c r="Q33" s="26"/>
    </row>
    <row r="34" spans="1:17" outlineLevel="2" x14ac:dyDescent="0.3">
      <c r="A34" s="255" t="s">
        <v>204</v>
      </c>
      <c r="B34" s="176">
        <v>133.369163942</v>
      </c>
      <c r="C34" s="266">
        <v>6.3480000000000003E-3</v>
      </c>
      <c r="D34" s="266">
        <v>0.26684999999999998</v>
      </c>
      <c r="E34" s="176">
        <v>0.84658439538999997</v>
      </c>
      <c r="F34" s="176">
        <v>35.589561397920001</v>
      </c>
      <c r="G34" s="198">
        <v>5.0980000000000001E-3</v>
      </c>
      <c r="H34" s="176">
        <v>133.369163942</v>
      </c>
      <c r="I34" s="266">
        <v>6.685E-3</v>
      </c>
      <c r="J34" s="266">
        <v>0.27750999999999998</v>
      </c>
      <c r="K34" s="176">
        <v>0.89153723285999997</v>
      </c>
      <c r="L34" s="176">
        <v>37.011276685539997</v>
      </c>
      <c r="M34" s="198">
        <v>5.2729999999999999E-3</v>
      </c>
      <c r="N34" s="176">
        <v>1.75E-4</v>
      </c>
      <c r="O34" s="26"/>
      <c r="P34" s="26"/>
      <c r="Q34" s="26"/>
    </row>
    <row r="35" spans="1:17" ht="14.5" outlineLevel="1" x14ac:dyDescent="0.35">
      <c r="A35" s="259" t="s">
        <v>2</v>
      </c>
      <c r="B35" s="260">
        <f t="shared" ref="B35:N35" si="2">SUM(B$36:B$39)</f>
        <v>64.698346898929998</v>
      </c>
      <c r="C35" s="270">
        <f t="shared" si="2"/>
        <v>3.3728230000000003</v>
      </c>
      <c r="D35" s="270">
        <f t="shared" si="2"/>
        <v>141.79011600000001</v>
      </c>
      <c r="E35" s="260">
        <f t="shared" si="2"/>
        <v>6.8629393971300008</v>
      </c>
      <c r="F35" s="260">
        <f t="shared" si="2"/>
        <v>288.51110931761002</v>
      </c>
      <c r="G35" s="261">
        <f t="shared" si="2"/>
        <v>4.1328999999999998E-2</v>
      </c>
      <c r="H35" s="260">
        <f t="shared" si="2"/>
        <v>69.323650793979994</v>
      </c>
      <c r="I35" s="270">
        <f t="shared" si="2"/>
        <v>3.3807909999999994</v>
      </c>
      <c r="J35" s="270">
        <f t="shared" si="2"/>
        <v>140.35016400000001</v>
      </c>
      <c r="K35" s="260">
        <f t="shared" si="2"/>
        <v>6.72958515978</v>
      </c>
      <c r="L35" s="260">
        <f t="shared" si="2"/>
        <v>279.37199832290003</v>
      </c>
      <c r="M35" s="261">
        <f t="shared" si="2"/>
        <v>3.9799000000000001E-2</v>
      </c>
      <c r="N35" s="260">
        <f t="shared" si="2"/>
        <v>-1.5300000000000001E-3</v>
      </c>
      <c r="O35" s="26"/>
      <c r="P35" s="26"/>
      <c r="Q35" s="26"/>
    </row>
    <row r="36" spans="1:17" outlineLevel="2" x14ac:dyDescent="0.3">
      <c r="A36" s="255" t="s">
        <v>199</v>
      </c>
      <c r="B36" s="176">
        <v>2.5775288199799999</v>
      </c>
      <c r="C36" s="266">
        <v>1</v>
      </c>
      <c r="D36" s="266">
        <v>42.039000000000001</v>
      </c>
      <c r="E36" s="176">
        <v>2.5775288199799999</v>
      </c>
      <c r="F36" s="176">
        <v>108.35673406313001</v>
      </c>
      <c r="G36" s="198">
        <v>1.5521999999999999E-2</v>
      </c>
      <c r="H36" s="176">
        <v>2.5517513979999999</v>
      </c>
      <c r="I36" s="266">
        <v>1</v>
      </c>
      <c r="J36" s="266">
        <v>41.514000000000003</v>
      </c>
      <c r="K36" s="176">
        <v>2.5517513979999999</v>
      </c>
      <c r="L36" s="176">
        <v>105.93340753657</v>
      </c>
      <c r="M36" s="198">
        <v>1.5091E-2</v>
      </c>
      <c r="N36" s="176">
        <v>-4.3100000000000001E-4</v>
      </c>
      <c r="O36" s="26"/>
      <c r="P36" s="26"/>
      <c r="Q36" s="26"/>
    </row>
    <row r="37" spans="1:17" outlineLevel="2" x14ac:dyDescent="0.3">
      <c r="A37" s="255" t="s">
        <v>200</v>
      </c>
      <c r="B37" s="176">
        <v>1.54726654191</v>
      </c>
      <c r="C37" s="266">
        <v>1.0449010000000001</v>
      </c>
      <c r="D37" s="266">
        <v>43.926600000000001</v>
      </c>
      <c r="E37" s="176">
        <v>1.6167406094100001</v>
      </c>
      <c r="F37" s="176">
        <v>67.966158479849994</v>
      </c>
      <c r="G37" s="198">
        <v>9.7359999999999999E-3</v>
      </c>
      <c r="H37" s="176">
        <v>1.43006325966</v>
      </c>
      <c r="I37" s="266">
        <v>1.0477000000000001</v>
      </c>
      <c r="J37" s="266">
        <v>43.494199999999999</v>
      </c>
      <c r="K37" s="176">
        <v>1.49827666398</v>
      </c>
      <c r="L37" s="176">
        <v>62.199457428290003</v>
      </c>
      <c r="M37" s="198">
        <v>8.8610000000000008E-3</v>
      </c>
      <c r="N37" s="176">
        <v>-8.7500000000000002E-4</v>
      </c>
      <c r="O37" s="26"/>
      <c r="P37" s="26"/>
      <c r="Q37" s="26"/>
    </row>
    <row r="38" spans="1:17" outlineLevel="2" x14ac:dyDescent="0.3">
      <c r="A38" s="255" t="s">
        <v>202</v>
      </c>
      <c r="B38" s="176">
        <v>0.95894341599999999</v>
      </c>
      <c r="C38" s="266">
        <v>1.304135</v>
      </c>
      <c r="D38" s="266">
        <v>54.824516000000003</v>
      </c>
      <c r="E38" s="176">
        <v>1.2505913236099999</v>
      </c>
      <c r="F38" s="176">
        <v>52.57360865359</v>
      </c>
      <c r="G38" s="198">
        <v>7.5310000000000004E-3</v>
      </c>
      <c r="H38" s="176">
        <v>0.86043508300000004</v>
      </c>
      <c r="I38" s="266">
        <v>1.3090029999999999</v>
      </c>
      <c r="J38" s="266">
        <v>54.341963999999997</v>
      </c>
      <c r="K38" s="176">
        <v>1.12631238389</v>
      </c>
      <c r="L38" s="176">
        <v>46.757732304720001</v>
      </c>
      <c r="M38" s="198">
        <v>6.6610000000000003E-3</v>
      </c>
      <c r="N38" s="176">
        <v>-8.7000000000000001E-4</v>
      </c>
      <c r="O38" s="26"/>
      <c r="P38" s="26"/>
      <c r="Q38" s="26"/>
    </row>
    <row r="39" spans="1:17" outlineLevel="2" x14ac:dyDescent="0.3">
      <c r="A39" s="255" t="s">
        <v>203</v>
      </c>
      <c r="B39" s="176">
        <v>59.61460812104</v>
      </c>
      <c r="C39" s="266">
        <v>2.3786999999999999E-2</v>
      </c>
      <c r="D39" s="266">
        <v>1</v>
      </c>
      <c r="E39" s="176">
        <v>1.41807864413</v>
      </c>
      <c r="F39" s="176">
        <v>59.61460812104</v>
      </c>
      <c r="G39" s="198">
        <v>8.5400000000000007E-3</v>
      </c>
      <c r="H39" s="176">
        <v>64.481401053319999</v>
      </c>
      <c r="I39" s="266">
        <v>2.4087999999999998E-2</v>
      </c>
      <c r="J39" s="266">
        <v>1</v>
      </c>
      <c r="K39" s="176">
        <v>1.5532447139100001</v>
      </c>
      <c r="L39" s="176">
        <v>64.481401053319999</v>
      </c>
      <c r="M39" s="198">
        <v>9.1859999999999997E-3</v>
      </c>
      <c r="N39" s="176">
        <v>6.4599999999999998E-4</v>
      </c>
      <c r="O39" s="26"/>
      <c r="P39" s="26"/>
      <c r="Q39" s="26"/>
    </row>
    <row r="40" spans="1:17" x14ac:dyDescent="0.3">
      <c r="B40" s="25"/>
      <c r="C40" s="93"/>
      <c r="D40" s="93"/>
      <c r="E40" s="25"/>
      <c r="F40" s="25"/>
      <c r="G40" s="63"/>
      <c r="H40" s="25"/>
      <c r="I40" s="93"/>
      <c r="J40" s="93"/>
      <c r="K40" s="25"/>
      <c r="L40" s="25"/>
      <c r="M40" s="63"/>
      <c r="N40" s="25"/>
      <c r="O40" s="26"/>
      <c r="P40" s="26"/>
      <c r="Q40" s="26"/>
    </row>
    <row r="41" spans="1:17" x14ac:dyDescent="0.3">
      <c r="B41" s="25"/>
      <c r="C41" s="93"/>
      <c r="D41" s="93"/>
      <c r="E41" s="25"/>
      <c r="F41" s="25"/>
      <c r="G41" s="63"/>
      <c r="H41" s="25"/>
      <c r="I41" s="93"/>
      <c r="J41" s="93"/>
      <c r="K41" s="25"/>
      <c r="L41" s="25"/>
      <c r="M41" s="63"/>
      <c r="N41" s="25"/>
      <c r="O41" s="26"/>
      <c r="P41" s="26"/>
      <c r="Q41" s="26"/>
    </row>
    <row r="42" spans="1:17" x14ac:dyDescent="0.3">
      <c r="B42" s="25"/>
      <c r="C42" s="93"/>
      <c r="D42" s="93"/>
      <c r="E42" s="25"/>
      <c r="F42" s="25"/>
      <c r="G42" s="63"/>
      <c r="H42" s="25"/>
      <c r="I42" s="93"/>
      <c r="J42" s="93"/>
      <c r="K42" s="25"/>
      <c r="L42" s="25"/>
      <c r="M42" s="63"/>
      <c r="N42" s="25"/>
      <c r="O42" s="26"/>
      <c r="P42" s="26"/>
      <c r="Q42" s="26"/>
    </row>
    <row r="43" spans="1:17" x14ac:dyDescent="0.3">
      <c r="B43" s="25"/>
      <c r="C43" s="93"/>
      <c r="D43" s="93"/>
      <c r="E43" s="25"/>
      <c r="F43" s="25"/>
      <c r="G43" s="63"/>
      <c r="H43" s="25"/>
      <c r="I43" s="93"/>
      <c r="J43" s="93"/>
      <c r="K43" s="25"/>
      <c r="L43" s="25"/>
      <c r="M43" s="63"/>
      <c r="N43" s="25"/>
      <c r="O43" s="26"/>
      <c r="P43" s="26"/>
      <c r="Q43" s="26"/>
    </row>
    <row r="44" spans="1:17" x14ac:dyDescent="0.3">
      <c r="B44" s="25"/>
      <c r="C44" s="93"/>
      <c r="D44" s="93"/>
      <c r="E44" s="25"/>
      <c r="F44" s="25"/>
      <c r="G44" s="63"/>
      <c r="H44" s="25"/>
      <c r="I44" s="93"/>
      <c r="J44" s="93"/>
      <c r="K44" s="25"/>
      <c r="L44" s="25"/>
      <c r="M44" s="63"/>
      <c r="N44" s="25"/>
      <c r="O44" s="26"/>
      <c r="P44" s="26"/>
      <c r="Q44" s="26"/>
    </row>
    <row r="45" spans="1:17" x14ac:dyDescent="0.3">
      <c r="B45" s="25"/>
      <c r="C45" s="93"/>
      <c r="D45" s="93"/>
      <c r="E45" s="25"/>
      <c r="F45" s="25"/>
      <c r="G45" s="63"/>
      <c r="H45" s="25"/>
      <c r="I45" s="93"/>
      <c r="J45" s="93"/>
      <c r="K45" s="25"/>
      <c r="L45" s="25"/>
      <c r="M45" s="63"/>
      <c r="N45" s="25"/>
      <c r="O45" s="26"/>
      <c r="P45" s="26"/>
      <c r="Q45" s="26"/>
    </row>
    <row r="46" spans="1:17" x14ac:dyDescent="0.3">
      <c r="B46" s="25"/>
      <c r="C46" s="93"/>
      <c r="D46" s="93"/>
      <c r="E46" s="25"/>
      <c r="F46" s="25"/>
      <c r="G46" s="63"/>
      <c r="H46" s="25"/>
      <c r="I46" s="93"/>
      <c r="J46" s="93"/>
      <c r="K46" s="25"/>
      <c r="L46" s="25"/>
      <c r="M46" s="63"/>
      <c r="N46" s="25"/>
      <c r="O46" s="26"/>
      <c r="P46" s="26"/>
      <c r="Q46" s="26"/>
    </row>
    <row r="47" spans="1:17" x14ac:dyDescent="0.3">
      <c r="B47" s="25"/>
      <c r="C47" s="93"/>
      <c r="D47" s="93"/>
      <c r="E47" s="25"/>
      <c r="F47" s="25"/>
      <c r="G47" s="63"/>
      <c r="H47" s="25"/>
      <c r="I47" s="93"/>
      <c r="J47" s="93"/>
      <c r="K47" s="25"/>
      <c r="L47" s="25"/>
      <c r="M47" s="63"/>
      <c r="N47" s="25"/>
      <c r="O47" s="26"/>
      <c r="P47" s="26"/>
      <c r="Q47" s="26"/>
    </row>
    <row r="48" spans="1: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row r="244" spans="2:17" x14ac:dyDescent="0.3">
      <c r="B244" s="25"/>
      <c r="C244" s="93"/>
      <c r="D244" s="93"/>
      <c r="E244" s="25"/>
      <c r="F244" s="25"/>
      <c r="G244" s="63"/>
      <c r="H244" s="25"/>
      <c r="I244" s="93"/>
      <c r="J244" s="93"/>
      <c r="K244" s="25"/>
      <c r="L244" s="25"/>
      <c r="M244" s="63"/>
      <c r="N244" s="25"/>
      <c r="O244" s="26"/>
      <c r="P244" s="26"/>
      <c r="Q244" s="26"/>
    </row>
    <row r="245" spans="2:17" x14ac:dyDescent="0.3">
      <c r="B245" s="25"/>
      <c r="C245" s="93"/>
      <c r="D245" s="93"/>
      <c r="E245" s="25"/>
      <c r="F245" s="25"/>
      <c r="G245" s="63"/>
      <c r="H245" s="25"/>
      <c r="I245" s="93"/>
      <c r="J245" s="93"/>
      <c r="K245" s="25"/>
      <c r="L245" s="25"/>
      <c r="M245" s="63"/>
      <c r="N245" s="25"/>
      <c r="O245" s="26"/>
      <c r="P245" s="26"/>
      <c r="Q245" s="26"/>
    </row>
    <row r="246" spans="2:17" x14ac:dyDescent="0.3">
      <c r="B246" s="25"/>
      <c r="C246" s="93"/>
      <c r="D246" s="93"/>
      <c r="E246" s="25"/>
      <c r="F246" s="25"/>
      <c r="G246" s="63"/>
      <c r="H246" s="25"/>
      <c r="I246" s="93"/>
      <c r="J246" s="93"/>
      <c r="K246" s="25"/>
      <c r="L246" s="25"/>
      <c r="M246" s="63"/>
      <c r="N246" s="25"/>
      <c r="O246" s="26"/>
      <c r="P246" s="26"/>
      <c r="Q246" s="26"/>
    </row>
    <row r="247" spans="2:17" x14ac:dyDescent="0.3">
      <c r="B247" s="25"/>
      <c r="C247" s="93"/>
      <c r="D247" s="93"/>
      <c r="E247" s="25"/>
      <c r="F247" s="25"/>
      <c r="G247" s="63"/>
      <c r="H247" s="25"/>
      <c r="I247" s="93"/>
      <c r="J247" s="93"/>
      <c r="K247" s="25"/>
      <c r="L247" s="25"/>
      <c r="M247" s="63"/>
      <c r="N247" s="25"/>
      <c r="O247" s="26"/>
      <c r="P247" s="26"/>
      <c r="Q247" s="26"/>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4" customWidth="1"/>
    <col min="2" max="2" width="14.26953125" style="23" customWidth="1"/>
    <col min="3" max="3" width="15.453125" style="23" customWidth="1"/>
    <col min="4" max="4" width="10.26953125" style="72" customWidth="1"/>
    <col min="5" max="5" width="8.81640625" style="22" hidden="1" customWidth="1"/>
    <col min="6" max="6" width="9.1796875" style="22" customWidth="1"/>
    <col min="7" max="16384" width="9.1796875" style="22"/>
  </cols>
  <sheetData>
    <row r="2" spans="1:20" ht="36.65" customHeight="1" x14ac:dyDescent="0.45">
      <c r="A2" s="279" t="str">
        <f>DEBT_AS_OF_DATE</f>
        <v>Державний та гарантований державою борг України
станом на 28.02.2025</v>
      </c>
      <c r="B2" s="280"/>
      <c r="C2" s="280"/>
      <c r="D2" s="280"/>
      <c r="E2" s="26"/>
      <c r="F2" s="26"/>
      <c r="G2" s="26"/>
      <c r="H2" s="26"/>
      <c r="I2" s="26"/>
      <c r="J2" s="26"/>
      <c r="K2" s="26"/>
      <c r="L2" s="26"/>
      <c r="M2" s="26"/>
      <c r="N2" s="26"/>
      <c r="O2" s="26"/>
      <c r="P2" s="26"/>
      <c r="Q2" s="26"/>
      <c r="R2" s="26"/>
      <c r="S2" s="26"/>
      <c r="T2" s="26"/>
    </row>
    <row r="3" spans="1:20" ht="18.5" x14ac:dyDescent="0.45">
      <c r="A3" s="282" t="str">
        <f>BY_CREDITOR_TYPE</f>
        <v>(за типом кредитора)</v>
      </c>
      <c r="B3" s="282"/>
      <c r="C3" s="282"/>
      <c r="D3" s="282"/>
    </row>
    <row r="4" spans="1:20" x14ac:dyDescent="0.3">
      <c r="B4" s="25"/>
      <c r="C4" s="25"/>
      <c r="D4" s="63"/>
      <c r="E4" s="26"/>
      <c r="F4" s="26"/>
      <c r="G4" s="26"/>
      <c r="H4" s="26"/>
      <c r="I4" s="26"/>
      <c r="J4" s="26"/>
      <c r="K4" s="26"/>
      <c r="L4" s="26"/>
      <c r="M4" s="26"/>
      <c r="N4" s="26"/>
      <c r="O4" s="26"/>
      <c r="P4" s="26"/>
      <c r="Q4" s="26"/>
      <c r="R4" s="26"/>
    </row>
    <row r="5" spans="1:20" s="27" customFormat="1" x14ac:dyDescent="0.3">
      <c r="B5" s="28"/>
      <c r="C5" s="28"/>
      <c r="D5" s="27" t="str">
        <f>VALVAL</f>
        <v>млрд. одиниць</v>
      </c>
    </row>
    <row r="6" spans="1:20" s="14" customFormat="1" x14ac:dyDescent="0.25">
      <c r="A6" s="12"/>
      <c r="B6" s="68" t="str">
        <f>USD</f>
        <v>дол.США</v>
      </c>
      <c r="C6" s="68" t="str">
        <f>UAH</f>
        <v>грн.</v>
      </c>
      <c r="D6" s="69" t="s">
        <v>0</v>
      </c>
      <c r="E6" s="57" t="s">
        <v>6</v>
      </c>
    </row>
    <row r="7" spans="1:20" s="15" customFormat="1" ht="15.5" x14ac:dyDescent="0.25">
      <c r="A7" s="142" t="str">
        <f>DEBT_TOTAL</f>
        <v>Загальна сума державного та гарантованого державою боргу</v>
      </c>
      <c r="B7" s="119">
        <f>B$8+B$20</f>
        <v>169.08837600780004</v>
      </c>
      <c r="C7" s="119">
        <f>C$8+C$20</f>
        <v>7019.5348415889612</v>
      </c>
      <c r="D7" s="120">
        <f>D$8+D$20</f>
        <v>0.99999899999999997</v>
      </c>
      <c r="E7" s="32" t="s">
        <v>51</v>
      </c>
    </row>
    <row r="8" spans="1:20" s="16" customFormat="1" ht="14.5" outlineLevel="1" x14ac:dyDescent="0.25">
      <c r="A8" s="190" t="s">
        <v>1</v>
      </c>
      <c r="B8" s="191">
        <f>B$9+B$12</f>
        <v>162.35879084802002</v>
      </c>
      <c r="C8" s="191">
        <f>C$9+C$12</f>
        <v>6740.1628432660609</v>
      </c>
      <c r="D8" s="192">
        <f>D$9+D$12</f>
        <v>0.96019999999999994</v>
      </c>
      <c r="E8" s="101" t="s">
        <v>51</v>
      </c>
    </row>
    <row r="9" spans="1:20" s="17" customFormat="1" ht="14.5" outlineLevel="2" x14ac:dyDescent="0.25">
      <c r="A9" s="105" t="s">
        <v>57</v>
      </c>
      <c r="B9" s="106">
        <f>SUM(B$10:B$11)</f>
        <v>44.313178305210002</v>
      </c>
      <c r="C9" s="106">
        <f>SUM(C$10:C$11)</f>
        <v>1839.6172841585801</v>
      </c>
      <c r="D9" s="107">
        <f>SUM(D$10:D$11)</f>
        <v>0.262071</v>
      </c>
      <c r="E9" s="102" t="s">
        <v>197</v>
      </c>
    </row>
    <row r="10" spans="1:20" s="38" customFormat="1" ht="14" outlineLevel="3" x14ac:dyDescent="0.25">
      <c r="A10" s="208" t="s">
        <v>58</v>
      </c>
      <c r="B10" s="209">
        <v>44.278135241480001</v>
      </c>
      <c r="C10" s="209">
        <v>1838.1625064108</v>
      </c>
      <c r="D10" s="210">
        <v>0.26186399999999999</v>
      </c>
      <c r="E10" s="103" t="s">
        <v>53</v>
      </c>
    </row>
    <row r="11" spans="1:20" ht="14" outlineLevel="3" x14ac:dyDescent="0.3">
      <c r="A11" s="214" t="s">
        <v>93</v>
      </c>
      <c r="B11" s="215">
        <v>3.5043063729999997E-2</v>
      </c>
      <c r="C11" s="215">
        <v>1.4547777477799999</v>
      </c>
      <c r="D11" s="216">
        <v>2.0699999999999999E-4</v>
      </c>
      <c r="E11" s="26"/>
      <c r="F11" s="26"/>
      <c r="G11" s="26"/>
      <c r="H11" s="26"/>
      <c r="I11" s="26"/>
      <c r="J11" s="26"/>
      <c r="K11" s="26"/>
      <c r="L11" s="26"/>
      <c r="M11" s="26"/>
      <c r="N11" s="26"/>
      <c r="O11" s="26"/>
      <c r="P11" s="26"/>
      <c r="Q11" s="26"/>
      <c r="R11" s="26"/>
    </row>
    <row r="12" spans="1:20" ht="14.5" outlineLevel="2" x14ac:dyDescent="0.35">
      <c r="A12" s="217" t="s">
        <v>95</v>
      </c>
      <c r="B12" s="203">
        <f>SUM(B$13:B$19)</f>
        <v>118.04561254281001</v>
      </c>
      <c r="C12" s="203">
        <f>SUM(C$13:C$19)</f>
        <v>4900.5455591074806</v>
      </c>
      <c r="D12" s="204">
        <f>SUM(D$13:D$19)</f>
        <v>0.698129</v>
      </c>
      <c r="E12" s="26"/>
      <c r="F12" s="26"/>
      <c r="G12" s="26"/>
      <c r="H12" s="26"/>
      <c r="I12" s="26"/>
      <c r="J12" s="26"/>
      <c r="K12" s="26"/>
      <c r="L12" s="26"/>
      <c r="M12" s="26"/>
      <c r="N12" s="26"/>
      <c r="O12" s="26"/>
      <c r="P12" s="26"/>
      <c r="Q12" s="26"/>
      <c r="R12" s="26"/>
    </row>
    <row r="13" spans="1:20" ht="14" outlineLevel="3" x14ac:dyDescent="0.35">
      <c r="A13" s="218" t="s">
        <v>96</v>
      </c>
      <c r="B13" s="212">
        <v>85.946924079140004</v>
      </c>
      <c r="C13" s="212">
        <v>3568.0006062255402</v>
      </c>
      <c r="D13" s="213">
        <v>0.50829599999999997</v>
      </c>
      <c r="E13" s="26"/>
      <c r="F13" s="26"/>
      <c r="G13" s="26"/>
      <c r="H13" s="26"/>
      <c r="I13" s="26"/>
      <c r="J13" s="26"/>
      <c r="K13" s="26"/>
      <c r="L13" s="26"/>
      <c r="M13" s="26"/>
      <c r="N13" s="26"/>
      <c r="O13" s="26"/>
      <c r="P13" s="26"/>
      <c r="Q13" s="26"/>
      <c r="R13" s="26"/>
    </row>
    <row r="14" spans="1:20" ht="42" outlineLevel="3" x14ac:dyDescent="0.35">
      <c r="A14" s="218" t="s">
        <v>106</v>
      </c>
      <c r="B14" s="212">
        <v>7.6909776344600003</v>
      </c>
      <c r="C14" s="212">
        <v>319.28324551754002</v>
      </c>
      <c r="D14" s="213">
        <v>4.5484999999999998E-2</v>
      </c>
      <c r="E14" s="26"/>
      <c r="F14" s="26"/>
      <c r="G14" s="26"/>
      <c r="H14" s="26"/>
      <c r="I14" s="26"/>
      <c r="J14" s="26"/>
      <c r="K14" s="26"/>
      <c r="L14" s="26"/>
      <c r="M14" s="26"/>
      <c r="N14" s="26"/>
      <c r="O14" s="26"/>
      <c r="P14" s="26"/>
      <c r="Q14" s="26"/>
      <c r="R14" s="26"/>
    </row>
    <row r="15" spans="1:20" ht="28" outlineLevel="3" x14ac:dyDescent="0.35">
      <c r="A15" s="218" t="s">
        <v>117</v>
      </c>
      <c r="B15" s="212">
        <v>0.60585586000000002</v>
      </c>
      <c r="C15" s="212">
        <v>25.151500172039999</v>
      </c>
      <c r="D15" s="213">
        <v>3.5829999999999998E-3</v>
      </c>
      <c r="E15" s="26"/>
      <c r="F15" s="26"/>
      <c r="G15" s="26"/>
      <c r="H15" s="26"/>
      <c r="I15" s="26"/>
      <c r="J15" s="26"/>
      <c r="K15" s="26"/>
      <c r="L15" s="26"/>
      <c r="M15" s="26"/>
      <c r="N15" s="26"/>
      <c r="O15" s="26"/>
      <c r="P15" s="26"/>
      <c r="Q15" s="26"/>
      <c r="R15" s="26"/>
    </row>
    <row r="16" spans="1:20" ht="28" outlineLevel="3" x14ac:dyDescent="0.35">
      <c r="A16" s="218" t="s">
        <v>119</v>
      </c>
      <c r="B16" s="212">
        <v>1.45118764899</v>
      </c>
      <c r="C16" s="212">
        <v>60.24460406064</v>
      </c>
      <c r="D16" s="213">
        <v>8.5819999999999994E-3</v>
      </c>
      <c r="E16" s="26"/>
      <c r="F16" s="26"/>
      <c r="G16" s="26"/>
      <c r="H16" s="26"/>
      <c r="I16" s="26"/>
      <c r="J16" s="26"/>
      <c r="K16" s="26"/>
      <c r="L16" s="26"/>
      <c r="M16" s="26"/>
      <c r="N16" s="26"/>
      <c r="O16" s="26"/>
      <c r="P16" s="26"/>
      <c r="Q16" s="26"/>
      <c r="R16" s="26"/>
    </row>
    <row r="17" spans="1:18" ht="28" outlineLevel="3" x14ac:dyDescent="0.35">
      <c r="A17" s="218" t="s">
        <v>126</v>
      </c>
      <c r="B17" s="212">
        <v>15.219165084</v>
      </c>
      <c r="C17" s="212">
        <v>631.80841929718997</v>
      </c>
      <c r="D17" s="213">
        <v>9.0007000000000004E-2</v>
      </c>
      <c r="E17" s="26"/>
      <c r="F17" s="26"/>
      <c r="G17" s="26"/>
      <c r="H17" s="26"/>
      <c r="I17" s="26"/>
      <c r="J17" s="26"/>
      <c r="K17" s="26"/>
      <c r="L17" s="26"/>
      <c r="M17" s="26"/>
      <c r="N17" s="26"/>
      <c r="O17" s="26"/>
      <c r="P17" s="26"/>
      <c r="Q17" s="26"/>
      <c r="R17" s="26"/>
    </row>
    <row r="18" spans="1:18" ht="28" outlineLevel="3" x14ac:dyDescent="0.35">
      <c r="A18" s="218" t="s">
        <v>135</v>
      </c>
      <c r="B18" s="212">
        <v>3</v>
      </c>
      <c r="C18" s="212">
        <v>124.542</v>
      </c>
      <c r="D18" s="213">
        <v>1.7742000000000001E-2</v>
      </c>
      <c r="E18" s="26"/>
      <c r="F18" s="26"/>
      <c r="G18" s="26"/>
      <c r="H18" s="26"/>
      <c r="I18" s="26"/>
      <c r="J18" s="26"/>
      <c r="K18" s="26"/>
      <c r="L18" s="26"/>
      <c r="M18" s="26"/>
      <c r="N18" s="26"/>
      <c r="O18" s="26"/>
      <c r="P18" s="26"/>
      <c r="Q18" s="26"/>
      <c r="R18" s="26"/>
    </row>
    <row r="19" spans="1:18" ht="14" outlineLevel="3" x14ac:dyDescent="0.35">
      <c r="A19" s="218" t="s">
        <v>137</v>
      </c>
      <c r="B19" s="212">
        <v>4.1315022362200002</v>
      </c>
      <c r="C19" s="212">
        <v>171.51518383453001</v>
      </c>
      <c r="D19" s="213">
        <v>2.4434000000000001E-2</v>
      </c>
      <c r="E19" s="26"/>
      <c r="F19" s="26"/>
      <c r="G19" s="26"/>
      <c r="H19" s="26"/>
      <c r="I19" s="26"/>
      <c r="J19" s="26"/>
      <c r="K19" s="26"/>
      <c r="L19" s="26"/>
      <c r="M19" s="26"/>
      <c r="N19" s="26"/>
      <c r="O19" s="26"/>
      <c r="P19" s="26"/>
      <c r="Q19" s="26"/>
      <c r="R19" s="26"/>
    </row>
    <row r="20" spans="1:18" ht="14.5" outlineLevel="1" x14ac:dyDescent="0.35">
      <c r="A20" s="219" t="s">
        <v>2</v>
      </c>
      <c r="B20" s="206">
        <f>B$21+B$25</f>
        <v>6.7295851597800009</v>
      </c>
      <c r="C20" s="206">
        <f>C$21+C$25</f>
        <v>279.37199832289997</v>
      </c>
      <c r="D20" s="207">
        <f>D$21+D$25</f>
        <v>3.9799000000000001E-2</v>
      </c>
      <c r="E20" s="26"/>
      <c r="F20" s="26"/>
      <c r="G20" s="26"/>
      <c r="H20" s="26"/>
      <c r="I20" s="26"/>
      <c r="J20" s="26"/>
      <c r="K20" s="26"/>
      <c r="L20" s="26"/>
      <c r="M20" s="26"/>
      <c r="N20" s="26"/>
      <c r="O20" s="26"/>
      <c r="P20" s="26"/>
      <c r="Q20" s="26"/>
      <c r="R20" s="26"/>
    </row>
    <row r="21" spans="1:18" ht="14.5" outlineLevel="2" x14ac:dyDescent="0.35">
      <c r="A21" s="217" t="s">
        <v>57</v>
      </c>
      <c r="B21" s="203">
        <f>SUM(B$22:B$24)</f>
        <v>1.76290484535</v>
      </c>
      <c r="C21" s="203">
        <f>SUM(C$22:C$24)</f>
        <v>73.185231749919993</v>
      </c>
      <c r="D21" s="204">
        <f>SUM(D$22:D$24)</f>
        <v>1.0426E-2</v>
      </c>
      <c r="E21" s="26"/>
      <c r="F21" s="26"/>
      <c r="G21" s="26"/>
      <c r="H21" s="26"/>
      <c r="I21" s="26"/>
      <c r="J21" s="26"/>
      <c r="K21" s="26"/>
      <c r="L21" s="26"/>
      <c r="M21" s="26"/>
      <c r="N21" s="26"/>
      <c r="O21" s="26"/>
      <c r="P21" s="26"/>
      <c r="Q21" s="26"/>
      <c r="R21" s="26"/>
    </row>
    <row r="22" spans="1:18" ht="14" outlineLevel="3" x14ac:dyDescent="0.35">
      <c r="A22" s="218" t="s">
        <v>58</v>
      </c>
      <c r="B22" s="212">
        <v>0.10779524016</v>
      </c>
      <c r="C22" s="212">
        <v>4.4750116000000002</v>
      </c>
      <c r="D22" s="213">
        <v>6.38E-4</v>
      </c>
      <c r="E22" s="26"/>
      <c r="F22" s="26"/>
      <c r="G22" s="26"/>
      <c r="H22" s="26"/>
      <c r="I22" s="26"/>
      <c r="J22" s="26"/>
      <c r="K22" s="26"/>
      <c r="L22" s="26"/>
      <c r="M22" s="26"/>
      <c r="N22" s="26"/>
      <c r="O22" s="26"/>
      <c r="P22" s="26"/>
      <c r="Q22" s="26"/>
      <c r="R22" s="26"/>
    </row>
    <row r="23" spans="1:18" ht="14" outlineLevel="3" x14ac:dyDescent="0.35">
      <c r="A23" s="218" t="s">
        <v>93</v>
      </c>
      <c r="B23" s="212">
        <v>1.6550866093300001</v>
      </c>
      <c r="C23" s="212">
        <v>68.709265499919994</v>
      </c>
      <c r="D23" s="213">
        <v>9.7879999999999998E-3</v>
      </c>
      <c r="E23" s="26"/>
      <c r="F23" s="26"/>
      <c r="G23" s="26"/>
      <c r="H23" s="26"/>
      <c r="I23" s="26"/>
      <c r="J23" s="26"/>
      <c r="K23" s="26"/>
      <c r="L23" s="26"/>
      <c r="M23" s="26"/>
      <c r="N23" s="26"/>
      <c r="O23" s="26"/>
      <c r="P23" s="26"/>
      <c r="Q23" s="26"/>
      <c r="R23" s="26"/>
    </row>
    <row r="24" spans="1:18" ht="14" outlineLevel="3" x14ac:dyDescent="0.35">
      <c r="A24" s="218" t="s">
        <v>154</v>
      </c>
      <c r="B24" s="212">
        <v>2.2995859999999998E-5</v>
      </c>
      <c r="C24" s="212">
        <v>9.5465000000000003E-4</v>
      </c>
      <c r="D24" s="213">
        <v>0</v>
      </c>
      <c r="E24" s="26"/>
      <c r="F24" s="26"/>
      <c r="G24" s="26"/>
      <c r="H24" s="26"/>
      <c r="I24" s="26"/>
      <c r="J24" s="26"/>
      <c r="K24" s="26"/>
      <c r="L24" s="26"/>
      <c r="M24" s="26"/>
      <c r="N24" s="26"/>
      <c r="O24" s="26"/>
      <c r="P24" s="26"/>
      <c r="Q24" s="26"/>
      <c r="R24" s="26"/>
    </row>
    <row r="25" spans="1:18" ht="14.5" outlineLevel="2" x14ac:dyDescent="0.35">
      <c r="A25" s="217" t="s">
        <v>95</v>
      </c>
      <c r="B25" s="203">
        <f>SUM(B$26:B$30)</f>
        <v>4.9666803144300005</v>
      </c>
      <c r="C25" s="203">
        <f>SUM(C$26:C$30)</f>
        <v>206.18676657297999</v>
      </c>
      <c r="D25" s="204">
        <f>SUM(D$26:D$30)</f>
        <v>2.9373000000000003E-2</v>
      </c>
      <c r="E25" s="26"/>
      <c r="F25" s="26"/>
      <c r="G25" s="26"/>
      <c r="H25" s="26"/>
      <c r="I25" s="26"/>
      <c r="J25" s="26"/>
      <c r="K25" s="26"/>
      <c r="L25" s="26"/>
      <c r="M25" s="26"/>
      <c r="N25" s="26"/>
      <c r="O25" s="26"/>
      <c r="P25" s="26"/>
      <c r="Q25" s="26"/>
      <c r="R25" s="26"/>
    </row>
    <row r="26" spans="1:18" ht="14" outlineLevel="3" x14ac:dyDescent="0.35">
      <c r="A26" s="218" t="s">
        <v>96</v>
      </c>
      <c r="B26" s="212">
        <v>2.9986601517999998</v>
      </c>
      <c r="C26" s="212">
        <v>124.48637754184</v>
      </c>
      <c r="D26" s="213">
        <v>1.7734E-2</v>
      </c>
      <c r="E26" s="26"/>
      <c r="F26" s="26"/>
      <c r="G26" s="26"/>
      <c r="H26" s="26"/>
      <c r="I26" s="26"/>
      <c r="J26" s="26"/>
      <c r="K26" s="26"/>
      <c r="L26" s="26"/>
      <c r="M26" s="26"/>
      <c r="N26" s="26"/>
      <c r="O26" s="26"/>
      <c r="P26" s="26"/>
      <c r="Q26" s="26"/>
      <c r="R26" s="26"/>
    </row>
    <row r="27" spans="1:18" ht="14" outlineLevel="3" x14ac:dyDescent="0.35">
      <c r="A27" s="218" t="s">
        <v>157</v>
      </c>
      <c r="B27" s="212">
        <v>0.85787816407999995</v>
      </c>
      <c r="C27" s="212">
        <v>35.613954103520001</v>
      </c>
      <c r="D27" s="213">
        <v>5.0740000000000004E-3</v>
      </c>
      <c r="E27" s="26"/>
      <c r="F27" s="26"/>
      <c r="G27" s="26"/>
      <c r="H27" s="26"/>
      <c r="I27" s="26"/>
      <c r="J27" s="26"/>
      <c r="K27" s="26"/>
      <c r="L27" s="26"/>
      <c r="M27" s="26"/>
      <c r="N27" s="26"/>
      <c r="O27" s="26"/>
      <c r="P27" s="26"/>
      <c r="Q27" s="26"/>
      <c r="R27" s="26"/>
    </row>
    <row r="28" spans="1:18" ht="28" outlineLevel="3" x14ac:dyDescent="0.35">
      <c r="A28" s="218" t="s">
        <v>119</v>
      </c>
      <c r="B28" s="212">
        <v>0.17853230805</v>
      </c>
      <c r="C28" s="212">
        <v>7.4115902363900004</v>
      </c>
      <c r="D28" s="213">
        <v>1.0560000000000001E-3</v>
      </c>
      <c r="E28" s="26"/>
      <c r="F28" s="26"/>
      <c r="G28" s="26"/>
      <c r="H28" s="26"/>
      <c r="I28" s="26"/>
      <c r="J28" s="26"/>
      <c r="K28" s="26"/>
      <c r="L28" s="26"/>
      <c r="M28" s="26"/>
      <c r="N28" s="26"/>
      <c r="O28" s="26"/>
      <c r="P28" s="26"/>
      <c r="Q28" s="26"/>
      <c r="R28" s="26"/>
    </row>
    <row r="29" spans="1:18" ht="14" outlineLevel="3" x14ac:dyDescent="0.35">
      <c r="A29" s="218" t="s">
        <v>160</v>
      </c>
      <c r="B29" s="212">
        <v>0.82499999999999996</v>
      </c>
      <c r="C29" s="212">
        <v>34.249049999999997</v>
      </c>
      <c r="D29" s="213">
        <v>4.8789999999999997E-3</v>
      </c>
      <c r="E29" s="26"/>
      <c r="F29" s="26"/>
      <c r="G29" s="26"/>
      <c r="H29" s="26"/>
      <c r="I29" s="26"/>
      <c r="J29" s="26"/>
      <c r="K29" s="26"/>
      <c r="L29" s="26"/>
      <c r="M29" s="26"/>
      <c r="N29" s="26"/>
      <c r="O29" s="26"/>
      <c r="P29" s="26"/>
      <c r="Q29" s="26"/>
      <c r="R29" s="26"/>
    </row>
    <row r="30" spans="1:18" ht="14" outlineLevel="3" x14ac:dyDescent="0.35">
      <c r="A30" s="218" t="s">
        <v>137</v>
      </c>
      <c r="B30" s="212">
        <v>0.10660969050000001</v>
      </c>
      <c r="C30" s="212">
        <v>4.4257946912300001</v>
      </c>
      <c r="D30" s="213">
        <v>6.3000000000000003E-4</v>
      </c>
      <c r="E30" s="26"/>
      <c r="F30" s="26"/>
      <c r="G30" s="26"/>
      <c r="H30" s="26"/>
      <c r="I30" s="26"/>
      <c r="J30" s="26"/>
      <c r="K30" s="26"/>
      <c r="L30" s="26"/>
      <c r="M30" s="26"/>
      <c r="N30" s="26"/>
      <c r="O30" s="26"/>
      <c r="P30" s="26"/>
      <c r="Q30" s="26"/>
      <c r="R30" s="26"/>
    </row>
    <row r="31" spans="1:18" x14ac:dyDescent="0.3">
      <c r="B31" s="25"/>
      <c r="C31" s="25"/>
      <c r="D31" s="63"/>
      <c r="E31" s="26"/>
      <c r="F31" s="26"/>
      <c r="G31" s="26"/>
      <c r="H31" s="26"/>
      <c r="I31" s="26"/>
      <c r="J31" s="26"/>
      <c r="K31" s="26"/>
      <c r="L31" s="26"/>
      <c r="M31" s="26"/>
      <c r="N31" s="26"/>
      <c r="O31" s="26"/>
      <c r="P31" s="26"/>
      <c r="Q31" s="26"/>
      <c r="R31" s="26"/>
    </row>
    <row r="32" spans="1: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28.02.2025</v>
      </c>
      <c r="B2" s="280"/>
      <c r="C2" s="280"/>
      <c r="D2" s="280"/>
      <c r="E2" s="26"/>
      <c r="F2" s="26"/>
      <c r="G2" s="26"/>
      <c r="H2" s="26"/>
      <c r="I2" s="26"/>
      <c r="J2" s="26"/>
      <c r="K2" s="26"/>
      <c r="L2" s="26"/>
      <c r="M2" s="26"/>
      <c r="N2" s="26"/>
      <c r="O2" s="26"/>
      <c r="P2" s="26"/>
      <c r="Q2" s="26"/>
      <c r="R2" s="26"/>
      <c r="S2" s="26"/>
    </row>
    <row r="3" spans="1:19" ht="18.5" x14ac:dyDescent="0.45">
      <c r="A3" s="282" t="str">
        <f>IF(REPORT_LANG="UKR","(за ознакою умовності)","based on characteristic of conventionality")</f>
        <v>(за ознакою умовності)</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09"/>
      <c r="B6" s="143" t="s">
        <v>187</v>
      </c>
      <c r="C6" s="143" t="s">
        <v>188</v>
      </c>
      <c r="D6" s="110" t="s">
        <v>0</v>
      </c>
    </row>
    <row r="7" spans="1:19" s="15" customFormat="1" ht="15.5" x14ac:dyDescent="0.25">
      <c r="A7" s="145" t="str">
        <f>DEBT_TOTAL</f>
        <v>Загальна сума державного та гарантованого державою боргу</v>
      </c>
      <c r="B7" s="84">
        <f>B$80+B$8</f>
        <v>169.08837600780004</v>
      </c>
      <c r="C7" s="84">
        <f>C$80+C$8</f>
        <v>7019.5348415889603</v>
      </c>
      <c r="D7" s="85">
        <f>D$80+D$8</f>
        <v>0.99999399999999994</v>
      </c>
    </row>
    <row r="8" spans="1:19" s="16" customFormat="1" ht="14.5" outlineLevel="1" x14ac:dyDescent="0.25">
      <c r="A8" s="190" t="s">
        <v>1</v>
      </c>
      <c r="B8" s="191">
        <f>B$9+B$43</f>
        <v>162.35879084802002</v>
      </c>
      <c r="C8" s="191">
        <f>C$9+C$43</f>
        <v>6740.16284326606</v>
      </c>
      <c r="D8" s="192">
        <f>D$9+D$43</f>
        <v>0.96019499999999991</v>
      </c>
    </row>
    <row r="9" spans="1:19" s="17" customFormat="1" ht="14.5" outlineLevel="2" x14ac:dyDescent="0.25">
      <c r="A9" s="105" t="s">
        <v>57</v>
      </c>
      <c r="B9" s="106">
        <f>B$10+B$41</f>
        <v>44.313178305210002</v>
      </c>
      <c r="C9" s="106">
        <f>C$10+C$41</f>
        <v>1839.6172841585794</v>
      </c>
      <c r="D9" s="107">
        <f>D$10+D$41</f>
        <v>0.26206500000000005</v>
      </c>
    </row>
    <row r="10" spans="1:19" s="18" customFormat="1" ht="14" outlineLevel="3" x14ac:dyDescent="0.25">
      <c r="A10" s="193" t="s">
        <v>58</v>
      </c>
      <c r="B10" s="194">
        <f>SUM(B$11:B$40)</f>
        <v>44.278135241480001</v>
      </c>
      <c r="C10" s="194">
        <f>SUM(C$11:C$40)</f>
        <v>1838.1625064107993</v>
      </c>
      <c r="D10" s="195">
        <f>SUM(D$11:D$40)</f>
        <v>0.26185800000000004</v>
      </c>
    </row>
    <row r="11" spans="1:19" outlineLevel="4" x14ac:dyDescent="0.3">
      <c r="A11" s="196" t="s">
        <v>59</v>
      </c>
      <c r="B11" s="197">
        <v>1.4123052223300001</v>
      </c>
      <c r="C11" s="197">
        <v>58.630439000000003</v>
      </c>
      <c r="D11" s="108">
        <v>8.352E-3</v>
      </c>
      <c r="E11" s="26"/>
      <c r="F11" s="26"/>
      <c r="G11" s="26"/>
      <c r="H11" s="26"/>
      <c r="I11" s="26"/>
      <c r="J11" s="26"/>
      <c r="K11" s="26"/>
      <c r="L11" s="26"/>
      <c r="M11" s="26"/>
      <c r="N11" s="26"/>
      <c r="O11" s="26"/>
      <c r="P11" s="26"/>
      <c r="Q11" s="26"/>
    </row>
    <row r="12" spans="1:19" outlineLevel="4" x14ac:dyDescent="0.3">
      <c r="A12" s="175" t="s">
        <v>60</v>
      </c>
      <c r="B12" s="176">
        <v>0.42233945175999998</v>
      </c>
      <c r="C12" s="176">
        <v>17.533000000000001</v>
      </c>
      <c r="D12" s="198">
        <v>2.4979999999999998E-3</v>
      </c>
      <c r="E12" s="26"/>
      <c r="F12" s="26"/>
      <c r="G12" s="26"/>
      <c r="H12" s="26"/>
      <c r="I12" s="26"/>
      <c r="J12" s="26"/>
      <c r="K12" s="26"/>
      <c r="L12" s="26"/>
      <c r="M12" s="26"/>
      <c r="N12" s="26"/>
      <c r="O12" s="26"/>
      <c r="P12" s="26"/>
      <c r="Q12" s="26"/>
    </row>
    <row r="13" spans="1:19" outlineLevel="4" x14ac:dyDescent="0.3">
      <c r="A13" s="175" t="s">
        <v>61</v>
      </c>
      <c r="B13" s="176">
        <v>9.0949752080000001E-2</v>
      </c>
      <c r="C13" s="176">
        <v>3.7756880077999999</v>
      </c>
      <c r="D13" s="198">
        <v>5.3799999999999996E-4</v>
      </c>
      <c r="E13" s="26"/>
      <c r="F13" s="26"/>
      <c r="G13" s="26"/>
      <c r="H13" s="26"/>
      <c r="I13" s="26"/>
      <c r="J13" s="26"/>
      <c r="K13" s="26"/>
      <c r="L13" s="26"/>
      <c r="M13" s="26"/>
      <c r="N13" s="26"/>
      <c r="O13" s="26"/>
      <c r="P13" s="26"/>
      <c r="Q13" s="26"/>
    </row>
    <row r="14" spans="1:19" outlineLevel="4" x14ac:dyDescent="0.3">
      <c r="A14" s="175" t="s">
        <v>62</v>
      </c>
      <c r="B14" s="176">
        <v>1.2044129691300001</v>
      </c>
      <c r="C14" s="176">
        <v>50</v>
      </c>
      <c r="D14" s="198">
        <v>7.123E-3</v>
      </c>
      <c r="E14" s="26"/>
      <c r="F14" s="26"/>
      <c r="G14" s="26"/>
      <c r="H14" s="26"/>
      <c r="I14" s="26"/>
      <c r="J14" s="26"/>
      <c r="K14" s="26"/>
      <c r="L14" s="26"/>
      <c r="M14" s="26"/>
      <c r="N14" s="26"/>
      <c r="O14" s="26"/>
      <c r="P14" s="26"/>
      <c r="Q14" s="26"/>
    </row>
    <row r="15" spans="1:19" outlineLevel="4" x14ac:dyDescent="0.3">
      <c r="A15" s="175" t="s">
        <v>63</v>
      </c>
      <c r="B15" s="176">
        <v>0.81177436528000002</v>
      </c>
      <c r="C15" s="176">
        <v>33.700001</v>
      </c>
      <c r="D15" s="198">
        <v>4.8009999999999997E-3</v>
      </c>
      <c r="E15" s="26"/>
      <c r="F15" s="26"/>
      <c r="G15" s="26"/>
      <c r="H15" s="26"/>
      <c r="I15" s="26"/>
      <c r="J15" s="26"/>
      <c r="K15" s="26"/>
      <c r="L15" s="26"/>
      <c r="M15" s="26"/>
      <c r="N15" s="26"/>
      <c r="O15" s="26"/>
      <c r="P15" s="26"/>
      <c r="Q15" s="26"/>
    </row>
    <row r="16" spans="1:19" outlineLevel="4" x14ac:dyDescent="0.3">
      <c r="A16" s="175" t="s">
        <v>64</v>
      </c>
      <c r="B16" s="176">
        <v>1.1297393650300001</v>
      </c>
      <c r="C16" s="176">
        <v>46.9</v>
      </c>
      <c r="D16" s="198">
        <v>6.6810000000000003E-3</v>
      </c>
      <c r="E16" s="26"/>
      <c r="F16" s="26"/>
      <c r="G16" s="26"/>
      <c r="H16" s="26"/>
      <c r="I16" s="26"/>
      <c r="J16" s="26"/>
      <c r="K16" s="26"/>
      <c r="L16" s="26"/>
      <c r="M16" s="26"/>
      <c r="N16" s="26"/>
      <c r="O16" s="26"/>
      <c r="P16" s="26"/>
      <c r="Q16" s="26"/>
    </row>
    <row r="17" spans="1:17" outlineLevel="4" x14ac:dyDescent="0.3">
      <c r="A17" s="175" t="s">
        <v>65</v>
      </c>
      <c r="B17" s="176">
        <v>5.4319775738300002</v>
      </c>
      <c r="C17" s="176">
        <v>225.503117</v>
      </c>
      <c r="D17" s="198">
        <v>3.2125000000000001E-2</v>
      </c>
      <c r="E17" s="26"/>
      <c r="F17" s="26"/>
      <c r="G17" s="26"/>
      <c r="H17" s="26"/>
      <c r="I17" s="26"/>
      <c r="J17" s="26"/>
      <c r="K17" s="26"/>
      <c r="L17" s="26"/>
      <c r="M17" s="26"/>
      <c r="N17" s="26"/>
      <c r="O17" s="26"/>
      <c r="P17" s="26"/>
      <c r="Q17" s="26"/>
    </row>
    <row r="18" spans="1:17" outlineLevel="4" x14ac:dyDescent="0.3">
      <c r="A18" s="175" t="s">
        <v>66</v>
      </c>
      <c r="B18" s="176">
        <v>0.29141359542</v>
      </c>
      <c r="C18" s="176">
        <v>12.097744</v>
      </c>
      <c r="D18" s="198">
        <v>1.7229999999999999E-3</v>
      </c>
      <c r="E18" s="26"/>
      <c r="F18" s="26"/>
      <c r="G18" s="26"/>
      <c r="H18" s="26"/>
      <c r="I18" s="26"/>
      <c r="J18" s="26"/>
      <c r="K18" s="26"/>
      <c r="L18" s="26"/>
      <c r="M18" s="26"/>
      <c r="N18" s="26"/>
      <c r="O18" s="26"/>
      <c r="P18" s="26"/>
      <c r="Q18" s="26"/>
    </row>
    <row r="19" spans="1:17" outlineLevel="4" x14ac:dyDescent="0.3">
      <c r="A19" s="175" t="s">
        <v>67</v>
      </c>
      <c r="B19" s="176">
        <v>0.65273748616000005</v>
      </c>
      <c r="C19" s="176">
        <v>27.097743999999999</v>
      </c>
      <c r="D19" s="198">
        <v>3.8600000000000001E-3</v>
      </c>
      <c r="E19" s="26"/>
      <c r="F19" s="26"/>
      <c r="G19" s="26"/>
      <c r="H19" s="26"/>
      <c r="I19" s="26"/>
      <c r="J19" s="26"/>
      <c r="K19" s="26"/>
      <c r="L19" s="26"/>
      <c r="M19" s="26"/>
      <c r="N19" s="26"/>
      <c r="O19" s="26"/>
      <c r="P19" s="26"/>
      <c r="Q19" s="26"/>
    </row>
    <row r="20" spans="1:17" outlineLevel="4" x14ac:dyDescent="0.3">
      <c r="A20" s="175" t="s">
        <v>68</v>
      </c>
      <c r="B20" s="176">
        <v>6.8226534519399999</v>
      </c>
      <c r="C20" s="176">
        <v>283.235635403</v>
      </c>
      <c r="D20" s="198">
        <v>4.0349999999999997E-2</v>
      </c>
      <c r="E20" s="26"/>
      <c r="F20" s="26"/>
      <c r="G20" s="26"/>
      <c r="H20" s="26"/>
      <c r="I20" s="26"/>
      <c r="J20" s="26"/>
      <c r="K20" s="26"/>
      <c r="L20" s="26"/>
      <c r="M20" s="26"/>
      <c r="N20" s="26"/>
      <c r="O20" s="26"/>
      <c r="P20" s="26"/>
      <c r="Q20" s="26"/>
    </row>
    <row r="21" spans="1:17" outlineLevel="4" x14ac:dyDescent="0.3">
      <c r="A21" s="175" t="s">
        <v>69</v>
      </c>
      <c r="B21" s="176">
        <v>0.29141359542</v>
      </c>
      <c r="C21" s="176">
        <v>12.097744</v>
      </c>
      <c r="D21" s="198">
        <v>1.7229999999999999E-3</v>
      </c>
      <c r="E21" s="26"/>
      <c r="F21" s="26"/>
      <c r="G21" s="26"/>
      <c r="H21" s="26"/>
      <c r="I21" s="26"/>
      <c r="J21" s="26"/>
      <c r="K21" s="26"/>
      <c r="L21" s="26"/>
      <c r="M21" s="26"/>
      <c r="N21" s="26"/>
      <c r="O21" s="26"/>
      <c r="P21" s="26"/>
      <c r="Q21" s="26"/>
    </row>
    <row r="22" spans="1:17" outlineLevel="4" x14ac:dyDescent="0.3">
      <c r="A22" s="175" t="s">
        <v>70</v>
      </c>
      <c r="B22" s="176">
        <v>0.29141359542</v>
      </c>
      <c r="C22" s="176">
        <v>12.097744</v>
      </c>
      <c r="D22" s="198">
        <v>1.7229999999999999E-3</v>
      </c>
      <c r="E22" s="26"/>
      <c r="F22" s="26"/>
      <c r="G22" s="26"/>
      <c r="H22" s="26"/>
      <c r="I22" s="26"/>
      <c r="J22" s="26"/>
      <c r="K22" s="26"/>
      <c r="L22" s="26"/>
      <c r="M22" s="26"/>
      <c r="N22" s="26"/>
      <c r="O22" s="26"/>
      <c r="P22" s="26"/>
      <c r="Q22" s="26"/>
    </row>
    <row r="23" spans="1:17" outlineLevel="4" x14ac:dyDescent="0.3">
      <c r="A23" s="175" t="s">
        <v>71</v>
      </c>
      <c r="B23" s="176">
        <v>6.6188429927100003</v>
      </c>
      <c r="C23" s="176">
        <v>274.77464800000001</v>
      </c>
      <c r="D23" s="198">
        <v>3.9143999999999998E-2</v>
      </c>
      <c r="E23" s="26"/>
      <c r="F23" s="26"/>
      <c r="G23" s="26"/>
      <c r="H23" s="26"/>
      <c r="I23" s="26"/>
      <c r="J23" s="26"/>
      <c r="K23" s="26"/>
      <c r="L23" s="26"/>
      <c r="M23" s="26"/>
      <c r="N23" s="26"/>
      <c r="O23" s="26"/>
      <c r="P23" s="26"/>
      <c r="Q23" s="26"/>
    </row>
    <row r="24" spans="1:17" outlineLevel="4" x14ac:dyDescent="0.3">
      <c r="A24" s="175" t="s">
        <v>72</v>
      </c>
      <c r="B24" s="176">
        <v>0.29141359542</v>
      </c>
      <c r="C24" s="176">
        <v>12.097744</v>
      </c>
      <c r="D24" s="198">
        <v>1.7229999999999999E-3</v>
      </c>
      <c r="E24" s="26"/>
      <c r="F24" s="26"/>
      <c r="G24" s="26"/>
      <c r="H24" s="26"/>
      <c r="I24" s="26"/>
      <c r="J24" s="26"/>
      <c r="K24" s="26"/>
      <c r="L24" s="26"/>
      <c r="M24" s="26"/>
      <c r="N24" s="26"/>
      <c r="O24" s="26"/>
      <c r="P24" s="26"/>
      <c r="Q24" s="26"/>
    </row>
    <row r="25" spans="1:17" outlineLevel="4" x14ac:dyDescent="0.3">
      <c r="A25" s="175" t="s">
        <v>73</v>
      </c>
      <c r="B25" s="176">
        <v>0.29141359542</v>
      </c>
      <c r="C25" s="176">
        <v>12.097744</v>
      </c>
      <c r="D25" s="198">
        <v>1.7229999999999999E-3</v>
      </c>
      <c r="E25" s="26"/>
      <c r="F25" s="26"/>
      <c r="G25" s="26"/>
      <c r="H25" s="26"/>
      <c r="I25" s="26"/>
      <c r="J25" s="26"/>
      <c r="K25" s="26"/>
      <c r="L25" s="26"/>
      <c r="M25" s="26"/>
      <c r="N25" s="26"/>
      <c r="O25" s="26"/>
      <c r="P25" s="26"/>
      <c r="Q25" s="26"/>
    </row>
    <row r="26" spans="1:17" outlineLevel="4" x14ac:dyDescent="0.3">
      <c r="A26" s="175" t="s">
        <v>74</v>
      </c>
      <c r="B26" s="176">
        <v>0.29141359542</v>
      </c>
      <c r="C26" s="176">
        <v>12.097744</v>
      </c>
      <c r="D26" s="198">
        <v>1.7229999999999999E-3</v>
      </c>
      <c r="E26" s="26"/>
      <c r="F26" s="26"/>
      <c r="G26" s="26"/>
      <c r="H26" s="26"/>
      <c r="I26" s="26"/>
      <c r="J26" s="26"/>
      <c r="K26" s="26"/>
      <c r="L26" s="26"/>
      <c r="M26" s="26"/>
      <c r="N26" s="26"/>
      <c r="O26" s="26"/>
      <c r="P26" s="26"/>
      <c r="Q26" s="26"/>
    </row>
    <row r="27" spans="1:17" outlineLevel="4" x14ac:dyDescent="0.3">
      <c r="A27" s="175" t="s">
        <v>75</v>
      </c>
      <c r="B27" s="176">
        <v>0.29141359542</v>
      </c>
      <c r="C27" s="176">
        <v>12.097744</v>
      </c>
      <c r="D27" s="198">
        <v>1.7229999999999999E-3</v>
      </c>
      <c r="E27" s="26"/>
      <c r="F27" s="26"/>
      <c r="G27" s="26"/>
      <c r="H27" s="26"/>
      <c r="I27" s="26"/>
      <c r="J27" s="26"/>
      <c r="K27" s="26"/>
      <c r="L27" s="26"/>
      <c r="M27" s="26"/>
      <c r="N27" s="26"/>
      <c r="O27" s="26"/>
      <c r="P27" s="26"/>
      <c r="Q27" s="26"/>
    </row>
    <row r="28" spans="1:17" outlineLevel="4" x14ac:dyDescent="0.3">
      <c r="A28" s="175" t="s">
        <v>76</v>
      </c>
      <c r="B28" s="176">
        <v>0.29141359542</v>
      </c>
      <c r="C28" s="176">
        <v>12.097744</v>
      </c>
      <c r="D28" s="198">
        <v>1.7229999999999999E-3</v>
      </c>
      <c r="E28" s="26"/>
      <c r="F28" s="26"/>
      <c r="G28" s="26"/>
      <c r="H28" s="26"/>
      <c r="I28" s="26"/>
      <c r="J28" s="26"/>
      <c r="K28" s="26"/>
      <c r="L28" s="26"/>
      <c r="M28" s="26"/>
      <c r="N28" s="26"/>
      <c r="O28" s="26"/>
      <c r="P28" s="26"/>
      <c r="Q28" s="26"/>
    </row>
    <row r="29" spans="1:17" outlineLevel="4" x14ac:dyDescent="0.3">
      <c r="A29" s="175" t="s">
        <v>77</v>
      </c>
      <c r="B29" s="176">
        <v>0.29141359542</v>
      </c>
      <c r="C29" s="176">
        <v>12.097744</v>
      </c>
      <c r="D29" s="198">
        <v>1.7229999999999999E-3</v>
      </c>
      <c r="E29" s="26"/>
      <c r="F29" s="26"/>
      <c r="G29" s="26"/>
      <c r="H29" s="26"/>
      <c r="I29" s="26"/>
      <c r="J29" s="26"/>
      <c r="K29" s="26"/>
      <c r="L29" s="26"/>
      <c r="M29" s="26"/>
      <c r="N29" s="26"/>
      <c r="O29" s="26"/>
      <c r="P29" s="26"/>
      <c r="Q29" s="26"/>
    </row>
    <row r="30" spans="1:17" outlineLevel="4" x14ac:dyDescent="0.3">
      <c r="A30" s="175" t="s">
        <v>78</v>
      </c>
      <c r="B30" s="176">
        <v>0.29141359542</v>
      </c>
      <c r="C30" s="176">
        <v>12.097744</v>
      </c>
      <c r="D30" s="198">
        <v>1.7229999999999999E-3</v>
      </c>
      <c r="E30" s="26"/>
      <c r="F30" s="26"/>
      <c r="G30" s="26"/>
      <c r="H30" s="26"/>
      <c r="I30" s="26"/>
      <c r="J30" s="26"/>
      <c r="K30" s="26"/>
      <c r="L30" s="26"/>
      <c r="M30" s="26"/>
      <c r="N30" s="26"/>
      <c r="O30" s="26"/>
      <c r="P30" s="26"/>
      <c r="Q30" s="26"/>
    </row>
    <row r="31" spans="1:17" outlineLevel="4" x14ac:dyDescent="0.3">
      <c r="A31" s="175" t="s">
        <v>79</v>
      </c>
      <c r="B31" s="176">
        <v>0.29141359542</v>
      </c>
      <c r="C31" s="176">
        <v>12.097744</v>
      </c>
      <c r="D31" s="198">
        <v>1.7229999999999999E-3</v>
      </c>
      <c r="E31" s="26"/>
      <c r="F31" s="26"/>
      <c r="G31" s="26"/>
      <c r="H31" s="26"/>
      <c r="I31" s="26"/>
      <c r="J31" s="26"/>
      <c r="K31" s="26"/>
      <c r="L31" s="26"/>
      <c r="M31" s="26"/>
      <c r="N31" s="26"/>
      <c r="O31" s="26"/>
      <c r="P31" s="26"/>
      <c r="Q31" s="26"/>
    </row>
    <row r="32" spans="1:17" outlineLevel="4" x14ac:dyDescent="0.3">
      <c r="A32" s="175" t="s">
        <v>80</v>
      </c>
      <c r="B32" s="176">
        <v>0.29141359542</v>
      </c>
      <c r="C32" s="176">
        <v>12.097744</v>
      </c>
      <c r="D32" s="198">
        <v>1.7229999999999999E-3</v>
      </c>
      <c r="E32" s="26"/>
      <c r="F32" s="26"/>
      <c r="G32" s="26"/>
      <c r="H32" s="26"/>
      <c r="I32" s="26"/>
      <c r="J32" s="26"/>
      <c r="K32" s="26"/>
      <c r="L32" s="26"/>
      <c r="M32" s="26"/>
      <c r="N32" s="26"/>
      <c r="O32" s="26"/>
      <c r="P32" s="26"/>
      <c r="Q32" s="26"/>
    </row>
    <row r="33" spans="1:17" outlineLevel="4" x14ac:dyDescent="0.3">
      <c r="A33" s="175" t="s">
        <v>81</v>
      </c>
      <c r="B33" s="176">
        <v>0.29141359542</v>
      </c>
      <c r="C33" s="176">
        <v>12.097744</v>
      </c>
      <c r="D33" s="198">
        <v>1.7229999999999999E-3</v>
      </c>
      <c r="E33" s="26"/>
      <c r="F33" s="26"/>
      <c r="G33" s="26"/>
      <c r="H33" s="26"/>
      <c r="I33" s="26"/>
      <c r="J33" s="26"/>
      <c r="K33" s="26"/>
      <c r="L33" s="26"/>
      <c r="M33" s="26"/>
      <c r="N33" s="26"/>
      <c r="O33" s="26"/>
      <c r="P33" s="26"/>
      <c r="Q33" s="26"/>
    </row>
    <row r="34" spans="1:17" outlineLevel="4" x14ac:dyDescent="0.3">
      <c r="A34" s="175" t="s">
        <v>83</v>
      </c>
      <c r="B34" s="176">
        <v>7.0964273016100003</v>
      </c>
      <c r="C34" s="176">
        <v>294.60108300000002</v>
      </c>
      <c r="D34" s="198">
        <v>4.1968999999999999E-2</v>
      </c>
      <c r="E34" s="26"/>
      <c r="F34" s="26"/>
      <c r="G34" s="26"/>
      <c r="H34" s="26"/>
      <c r="I34" s="26"/>
      <c r="J34" s="26"/>
      <c r="K34" s="26"/>
      <c r="L34" s="26"/>
      <c r="M34" s="26"/>
      <c r="N34" s="26"/>
      <c r="O34" s="26"/>
      <c r="P34" s="26"/>
      <c r="Q34" s="26"/>
    </row>
    <row r="35" spans="1:17" outlineLevel="4" x14ac:dyDescent="0.3">
      <c r="A35" s="175" t="s">
        <v>84</v>
      </c>
      <c r="B35" s="176">
        <v>6.1930373127399996</v>
      </c>
      <c r="C35" s="176">
        <v>257.09775100000002</v>
      </c>
      <c r="D35" s="198">
        <v>3.6625999999999999E-2</v>
      </c>
      <c r="E35" s="26"/>
      <c r="F35" s="26"/>
      <c r="G35" s="26"/>
      <c r="H35" s="26"/>
      <c r="I35" s="26"/>
      <c r="J35" s="26"/>
      <c r="K35" s="26"/>
      <c r="L35" s="26"/>
      <c r="M35" s="26"/>
      <c r="N35" s="26"/>
      <c r="O35" s="26"/>
      <c r="P35" s="26"/>
      <c r="Q35" s="26"/>
    </row>
    <row r="36" spans="1:17" outlineLevel="4" x14ac:dyDescent="0.3">
      <c r="A36" s="175" t="s">
        <v>85</v>
      </c>
      <c r="B36" s="176">
        <v>0.87179748997999995</v>
      </c>
      <c r="C36" s="176">
        <v>36.191800999999998</v>
      </c>
      <c r="D36" s="198">
        <v>5.156E-3</v>
      </c>
      <c r="E36" s="26"/>
      <c r="F36" s="26"/>
      <c r="G36" s="26"/>
      <c r="H36" s="26"/>
      <c r="I36" s="26"/>
      <c r="J36" s="26"/>
      <c r="K36" s="26"/>
      <c r="L36" s="26"/>
      <c r="M36" s="26"/>
      <c r="N36" s="26"/>
      <c r="O36" s="26"/>
      <c r="P36" s="26"/>
      <c r="Q36" s="26"/>
    </row>
    <row r="37" spans="1:17" outlineLevel="4" x14ac:dyDescent="0.3">
      <c r="A37" s="175" t="s">
        <v>86</v>
      </c>
      <c r="B37" s="176">
        <v>1.10972770632</v>
      </c>
      <c r="C37" s="176">
        <v>46.069235999999997</v>
      </c>
      <c r="D37" s="198">
        <v>6.5630000000000003E-3</v>
      </c>
      <c r="E37" s="26"/>
      <c r="F37" s="26"/>
      <c r="G37" s="26"/>
      <c r="H37" s="26"/>
      <c r="I37" s="26"/>
      <c r="J37" s="26"/>
      <c r="K37" s="26"/>
      <c r="L37" s="26"/>
      <c r="M37" s="26"/>
      <c r="N37" s="26"/>
      <c r="O37" s="26"/>
      <c r="P37" s="26"/>
      <c r="Q37" s="26"/>
    </row>
    <row r="38" spans="1:17" outlineLevel="4" x14ac:dyDescent="0.3">
      <c r="A38" s="175" t="s">
        <v>89</v>
      </c>
      <c r="B38" s="176">
        <v>0.42832998505999997</v>
      </c>
      <c r="C38" s="176">
        <v>17.781690999999999</v>
      </c>
      <c r="D38" s="198">
        <v>2.5330000000000001E-3</v>
      </c>
      <c r="E38" s="26"/>
      <c r="F38" s="26"/>
      <c r="G38" s="26"/>
      <c r="H38" s="26"/>
      <c r="I38" s="26"/>
      <c r="J38" s="26"/>
      <c r="K38" s="26"/>
      <c r="L38" s="26"/>
      <c r="M38" s="26"/>
      <c r="N38" s="26"/>
      <c r="O38" s="26"/>
      <c r="P38" s="26"/>
      <c r="Q38" s="26"/>
    </row>
    <row r="39" spans="1:17" outlineLevel="4" x14ac:dyDescent="0.3">
      <c r="A39" s="175" t="s">
        <v>90</v>
      </c>
      <c r="B39" s="176">
        <v>6.0220648459999998E-2</v>
      </c>
      <c r="C39" s="176">
        <v>2.5</v>
      </c>
      <c r="D39" s="198">
        <v>3.5599999999999998E-4</v>
      </c>
      <c r="E39" s="26"/>
      <c r="F39" s="26"/>
      <c r="G39" s="26"/>
      <c r="H39" s="26"/>
      <c r="I39" s="26"/>
      <c r="J39" s="26"/>
      <c r="K39" s="26"/>
      <c r="L39" s="26"/>
      <c r="M39" s="26"/>
      <c r="N39" s="26"/>
      <c r="O39" s="26"/>
      <c r="P39" s="26"/>
      <c r="Q39" s="26"/>
    </row>
    <row r="40" spans="1:17" outlineLevel="4" x14ac:dyDescent="0.3">
      <c r="A40" s="175" t="s">
        <v>92</v>
      </c>
      <c r="B40" s="176">
        <v>0.13248542660000001</v>
      </c>
      <c r="C40" s="176">
        <v>5.5</v>
      </c>
      <c r="D40" s="198">
        <v>7.8399999999999997E-4</v>
      </c>
      <c r="E40" s="26"/>
      <c r="F40" s="26"/>
      <c r="G40" s="26"/>
      <c r="H40" s="26"/>
      <c r="I40" s="26"/>
      <c r="J40" s="26"/>
      <c r="K40" s="26"/>
      <c r="L40" s="26"/>
      <c r="M40" s="26"/>
      <c r="N40" s="26"/>
      <c r="O40" s="26"/>
      <c r="P40" s="26"/>
      <c r="Q40" s="26"/>
    </row>
    <row r="41" spans="1:17" ht="14" outlineLevel="3" x14ac:dyDescent="0.35">
      <c r="A41" s="199" t="s">
        <v>93</v>
      </c>
      <c r="B41" s="200">
        <f>SUM(B$42:B$42)</f>
        <v>3.5043063729999997E-2</v>
      </c>
      <c r="C41" s="200">
        <f>SUM(C$42:C$42)</f>
        <v>1.4547777477799999</v>
      </c>
      <c r="D41" s="201">
        <f>SUM(D$42:D$42)</f>
        <v>2.0699999999999999E-4</v>
      </c>
      <c r="E41" s="26"/>
      <c r="F41" s="26"/>
      <c r="G41" s="26"/>
      <c r="H41" s="26"/>
      <c r="I41" s="26"/>
      <c r="J41" s="26"/>
      <c r="K41" s="26"/>
      <c r="L41" s="26"/>
      <c r="M41" s="26"/>
      <c r="N41" s="26"/>
      <c r="O41" s="26"/>
      <c r="P41" s="26"/>
      <c r="Q41" s="26"/>
    </row>
    <row r="42" spans="1:17" outlineLevel="4" x14ac:dyDescent="0.3">
      <c r="A42" s="175" t="s">
        <v>94</v>
      </c>
      <c r="B42" s="176">
        <v>3.5043063729999997E-2</v>
      </c>
      <c r="C42" s="176">
        <v>1.4547777477799999</v>
      </c>
      <c r="D42" s="198">
        <v>2.0699999999999999E-4</v>
      </c>
      <c r="E42" s="26"/>
      <c r="F42" s="26"/>
      <c r="G42" s="26"/>
      <c r="H42" s="26"/>
      <c r="I42" s="26"/>
      <c r="J42" s="26"/>
      <c r="K42" s="26"/>
      <c r="L42" s="26"/>
      <c r="M42" s="26"/>
      <c r="N42" s="26"/>
      <c r="O42" s="26"/>
      <c r="P42" s="26"/>
      <c r="Q42" s="26"/>
    </row>
    <row r="43" spans="1:17" ht="14.5" outlineLevel="2" x14ac:dyDescent="0.35">
      <c r="A43" s="202" t="s">
        <v>95</v>
      </c>
      <c r="B43" s="203">
        <f>B$44+B$54+B$65+B$67+B$74+B$76+B$78</f>
        <v>118.04561254281001</v>
      </c>
      <c r="C43" s="203">
        <f>C$44+C$54+C$65+C$67+C$74+C$76+C$78</f>
        <v>4900.5455591074806</v>
      </c>
      <c r="D43" s="204">
        <f>D$44+D$54+D$65+D$67+D$74+D$76+D$78</f>
        <v>0.69812999999999992</v>
      </c>
      <c r="E43" s="26"/>
      <c r="F43" s="26"/>
      <c r="G43" s="26"/>
      <c r="H43" s="26"/>
      <c r="I43" s="26"/>
      <c r="J43" s="26"/>
      <c r="K43" s="26"/>
      <c r="L43" s="26"/>
      <c r="M43" s="26"/>
      <c r="N43" s="26"/>
      <c r="O43" s="26"/>
      <c r="P43" s="26"/>
      <c r="Q43" s="26"/>
    </row>
    <row r="44" spans="1:17" ht="14" outlineLevel="3" x14ac:dyDescent="0.35">
      <c r="A44" s="199" t="s">
        <v>96</v>
      </c>
      <c r="B44" s="200">
        <f>SUM(B$45:B$53)</f>
        <v>85.946924079140004</v>
      </c>
      <c r="C44" s="200">
        <f>SUM(C$45:C$53)</f>
        <v>3568.0006062255402</v>
      </c>
      <c r="D44" s="201">
        <f>SUM(D$45:D$53)</f>
        <v>0.508297</v>
      </c>
      <c r="E44" s="26"/>
      <c r="F44" s="26"/>
      <c r="G44" s="26"/>
      <c r="H44" s="26"/>
      <c r="I44" s="26"/>
      <c r="J44" s="26"/>
      <c r="K44" s="26"/>
      <c r="L44" s="26"/>
      <c r="M44" s="26"/>
      <c r="N44" s="26"/>
      <c r="O44" s="26"/>
      <c r="P44" s="26"/>
      <c r="Q44" s="26"/>
    </row>
    <row r="45" spans="1:17" outlineLevel="4" x14ac:dyDescent="0.3">
      <c r="A45" s="175" t="s">
        <v>97</v>
      </c>
      <c r="B45" s="176">
        <v>1.1492941309999999E-2</v>
      </c>
      <c r="C45" s="176">
        <v>0.47711796561000003</v>
      </c>
      <c r="D45" s="198">
        <v>6.7999999999999999E-5</v>
      </c>
      <c r="E45" s="26"/>
      <c r="F45" s="26"/>
      <c r="G45" s="26"/>
      <c r="H45" s="26"/>
      <c r="I45" s="26"/>
      <c r="J45" s="26"/>
      <c r="K45" s="26"/>
      <c r="L45" s="26"/>
      <c r="M45" s="26"/>
      <c r="N45" s="26"/>
      <c r="O45" s="26"/>
      <c r="P45" s="26"/>
      <c r="Q45" s="26"/>
    </row>
    <row r="46" spans="1:17" outlineLevel="4" x14ac:dyDescent="0.3">
      <c r="A46" s="175" t="s">
        <v>98</v>
      </c>
      <c r="B46" s="176">
        <v>0.12351383991999999</v>
      </c>
      <c r="C46" s="176">
        <v>5.1275535505200001</v>
      </c>
      <c r="D46" s="198">
        <v>7.2999999999999996E-4</v>
      </c>
      <c r="E46" s="26"/>
      <c r="F46" s="26"/>
      <c r="G46" s="26"/>
      <c r="H46" s="26"/>
      <c r="I46" s="26"/>
      <c r="J46" s="26"/>
      <c r="K46" s="26"/>
      <c r="L46" s="26"/>
      <c r="M46" s="26"/>
      <c r="N46" s="26"/>
      <c r="O46" s="26"/>
      <c r="P46" s="26"/>
      <c r="Q46" s="26"/>
    </row>
    <row r="47" spans="1:17" outlineLevel="4" x14ac:dyDescent="0.3">
      <c r="A47" s="175" t="s">
        <v>99</v>
      </c>
      <c r="B47" s="176">
        <v>0.10309589916</v>
      </c>
      <c r="C47" s="176">
        <v>4.2799231578799999</v>
      </c>
      <c r="D47" s="198">
        <v>6.0999999999999997E-4</v>
      </c>
      <c r="E47" s="26"/>
      <c r="F47" s="26"/>
      <c r="G47" s="26"/>
      <c r="H47" s="26"/>
      <c r="I47" s="26"/>
      <c r="J47" s="26"/>
      <c r="K47" s="26"/>
      <c r="L47" s="26"/>
      <c r="M47" s="26"/>
      <c r="N47" s="26"/>
      <c r="O47" s="26"/>
      <c r="P47" s="26"/>
      <c r="Q47" s="26"/>
    </row>
    <row r="48" spans="1:17" outlineLevel="4" x14ac:dyDescent="0.3">
      <c r="A48" s="175" t="s">
        <v>100</v>
      </c>
      <c r="B48" s="176">
        <v>2.9481677742899999</v>
      </c>
      <c r="C48" s="176">
        <v>122.39023698254999</v>
      </c>
      <c r="D48" s="198">
        <v>1.7436E-2</v>
      </c>
      <c r="E48" s="26"/>
      <c r="F48" s="26"/>
      <c r="G48" s="26"/>
      <c r="H48" s="26"/>
      <c r="I48" s="26"/>
      <c r="J48" s="26"/>
      <c r="K48" s="26"/>
      <c r="L48" s="26"/>
      <c r="M48" s="26"/>
      <c r="N48" s="26"/>
      <c r="O48" s="26"/>
      <c r="P48" s="26"/>
      <c r="Q48" s="26"/>
    </row>
    <row r="49" spans="1:17" outlineLevel="4" x14ac:dyDescent="0.3">
      <c r="A49" s="175" t="s">
        <v>101</v>
      </c>
      <c r="B49" s="176">
        <v>47.273798653260002</v>
      </c>
      <c r="C49" s="176">
        <v>1962.5244772937201</v>
      </c>
      <c r="D49" s="198">
        <v>0.27958</v>
      </c>
      <c r="E49" s="26"/>
      <c r="F49" s="26"/>
      <c r="G49" s="26"/>
      <c r="H49" s="26"/>
      <c r="I49" s="26"/>
      <c r="J49" s="26"/>
      <c r="K49" s="26"/>
      <c r="L49" s="26"/>
      <c r="M49" s="26"/>
      <c r="N49" s="26"/>
      <c r="O49" s="26"/>
      <c r="P49" s="26"/>
      <c r="Q49" s="26"/>
    </row>
    <row r="50" spans="1:17" outlineLevel="4" x14ac:dyDescent="0.3">
      <c r="A50" s="175" t="s">
        <v>102</v>
      </c>
      <c r="B50" s="176">
        <v>5.7927417747199996</v>
      </c>
      <c r="C50" s="176">
        <v>240.47988203592999</v>
      </c>
      <c r="D50" s="198">
        <v>3.4258999999999998E-2</v>
      </c>
      <c r="E50" s="26"/>
      <c r="F50" s="26"/>
      <c r="G50" s="26"/>
      <c r="H50" s="26"/>
      <c r="I50" s="26"/>
      <c r="J50" s="26"/>
      <c r="K50" s="26"/>
      <c r="L50" s="26"/>
      <c r="M50" s="26"/>
      <c r="N50" s="26"/>
      <c r="O50" s="26"/>
      <c r="P50" s="26"/>
      <c r="Q50" s="26"/>
    </row>
    <row r="51" spans="1:17" outlineLevel="4" x14ac:dyDescent="0.3">
      <c r="A51" s="175" t="s">
        <v>103</v>
      </c>
      <c r="B51" s="176">
        <v>16.06466800155</v>
      </c>
      <c r="C51" s="176">
        <v>666.90862741633998</v>
      </c>
      <c r="D51" s="198">
        <v>9.5007999999999995E-2</v>
      </c>
      <c r="E51" s="26"/>
      <c r="F51" s="26"/>
      <c r="G51" s="26"/>
      <c r="H51" s="26"/>
      <c r="I51" s="26"/>
      <c r="J51" s="26"/>
      <c r="K51" s="26"/>
      <c r="L51" s="26"/>
      <c r="M51" s="26"/>
      <c r="N51" s="26"/>
      <c r="O51" s="26"/>
      <c r="P51" s="26"/>
      <c r="Q51" s="26"/>
    </row>
    <row r="52" spans="1:17" outlineLevel="4" x14ac:dyDescent="0.3">
      <c r="A52" s="175" t="s">
        <v>104</v>
      </c>
      <c r="B52" s="176">
        <v>13.518056602030001</v>
      </c>
      <c r="C52" s="176">
        <v>561.18860177733995</v>
      </c>
      <c r="D52" s="198">
        <v>7.9947000000000004E-2</v>
      </c>
      <c r="E52" s="26"/>
      <c r="F52" s="26"/>
      <c r="G52" s="26"/>
      <c r="H52" s="26"/>
      <c r="I52" s="26"/>
      <c r="J52" s="26"/>
      <c r="K52" s="26"/>
      <c r="L52" s="26"/>
      <c r="M52" s="26"/>
      <c r="N52" s="26"/>
      <c r="O52" s="26"/>
      <c r="P52" s="26"/>
      <c r="Q52" s="26"/>
    </row>
    <row r="53" spans="1:17" outlineLevel="4" x14ac:dyDescent="0.3">
      <c r="A53" s="175" t="s">
        <v>105</v>
      </c>
      <c r="B53" s="176">
        <v>0.1113885929</v>
      </c>
      <c r="C53" s="176">
        <v>4.6241860456500001</v>
      </c>
      <c r="D53" s="198">
        <v>6.5899999999999997E-4</v>
      </c>
      <c r="E53" s="26"/>
      <c r="F53" s="26"/>
      <c r="G53" s="26"/>
      <c r="H53" s="26"/>
      <c r="I53" s="26"/>
      <c r="J53" s="26"/>
      <c r="K53" s="26"/>
      <c r="L53" s="26"/>
      <c r="M53" s="26"/>
      <c r="N53" s="26"/>
      <c r="O53" s="26"/>
      <c r="P53" s="26"/>
      <c r="Q53" s="26"/>
    </row>
    <row r="54" spans="1:17" ht="14" outlineLevel="3" x14ac:dyDescent="0.35">
      <c r="A54" s="199" t="s">
        <v>106</v>
      </c>
      <c r="B54" s="200">
        <f>SUM(B$55:B$64)</f>
        <v>7.6909776344599985</v>
      </c>
      <c r="C54" s="200">
        <f>SUM(C$55:C$64)</f>
        <v>319.28324551754002</v>
      </c>
      <c r="D54" s="201">
        <f>SUM(D$55:D$64)</f>
        <v>4.5483999999999997E-2</v>
      </c>
      <c r="E54" s="26"/>
      <c r="F54" s="26"/>
      <c r="G54" s="26"/>
      <c r="H54" s="26"/>
      <c r="I54" s="26"/>
      <c r="J54" s="26"/>
      <c r="K54" s="26"/>
      <c r="L54" s="26"/>
      <c r="M54" s="26"/>
      <c r="N54" s="26"/>
      <c r="O54" s="26"/>
      <c r="P54" s="26"/>
      <c r="Q54" s="26"/>
    </row>
    <row r="55" spans="1:17" outlineLevel="4" x14ac:dyDescent="0.3">
      <c r="A55" s="175" t="s">
        <v>107</v>
      </c>
      <c r="B55" s="176">
        <v>2.401513777E-2</v>
      </c>
      <c r="C55" s="176">
        <v>0.99696442919999995</v>
      </c>
      <c r="D55" s="198">
        <v>1.4200000000000001E-4</v>
      </c>
      <c r="E55" s="26"/>
      <c r="F55" s="26"/>
      <c r="G55" s="26"/>
      <c r="H55" s="26"/>
      <c r="I55" s="26"/>
      <c r="J55" s="26"/>
      <c r="K55" s="26"/>
      <c r="L55" s="26"/>
      <c r="M55" s="26"/>
      <c r="N55" s="26"/>
      <c r="O55" s="26"/>
      <c r="P55" s="26"/>
      <c r="Q55" s="26"/>
    </row>
    <row r="56" spans="1:17" outlineLevel="4" x14ac:dyDescent="0.3">
      <c r="A56" s="175" t="s">
        <v>108</v>
      </c>
      <c r="B56" s="176">
        <v>0.20953991424999999</v>
      </c>
      <c r="C56" s="176">
        <v>8.6988400000000006</v>
      </c>
      <c r="D56" s="198">
        <v>1.2390000000000001E-3</v>
      </c>
      <c r="E56" s="26"/>
      <c r="F56" s="26"/>
      <c r="G56" s="26"/>
      <c r="H56" s="26"/>
      <c r="I56" s="26"/>
      <c r="J56" s="26"/>
      <c r="K56" s="26"/>
      <c r="L56" s="26"/>
      <c r="M56" s="26"/>
      <c r="N56" s="26"/>
      <c r="O56" s="26"/>
      <c r="P56" s="26"/>
      <c r="Q56" s="26"/>
    </row>
    <row r="57" spans="1:17" outlineLevel="4" x14ac:dyDescent="0.3">
      <c r="A57" s="175" t="s">
        <v>109</v>
      </c>
      <c r="B57" s="176">
        <v>5.0945019915599996</v>
      </c>
      <c r="C57" s="176">
        <v>211.49315567745001</v>
      </c>
      <c r="D57" s="198">
        <v>3.0129E-2</v>
      </c>
      <c r="E57" s="26"/>
      <c r="F57" s="26"/>
      <c r="G57" s="26"/>
      <c r="H57" s="26"/>
      <c r="I57" s="26"/>
      <c r="J57" s="26"/>
      <c r="K57" s="26"/>
      <c r="L57" s="26"/>
      <c r="M57" s="26"/>
      <c r="N57" s="26"/>
      <c r="O57" s="26"/>
      <c r="P57" s="26"/>
      <c r="Q57" s="26"/>
    </row>
    <row r="58" spans="1:17" outlineLevel="4" x14ac:dyDescent="0.3">
      <c r="A58" s="175" t="s">
        <v>110</v>
      </c>
      <c r="B58" s="176">
        <v>0.20953991424999999</v>
      </c>
      <c r="C58" s="176">
        <v>8.6988400000000006</v>
      </c>
      <c r="D58" s="198">
        <v>1.2390000000000001E-3</v>
      </c>
      <c r="E58" s="26"/>
      <c r="F58" s="26"/>
      <c r="G58" s="26"/>
      <c r="H58" s="26"/>
      <c r="I58" s="26"/>
      <c r="J58" s="26"/>
      <c r="K58" s="26"/>
      <c r="L58" s="26"/>
      <c r="M58" s="26"/>
      <c r="N58" s="26"/>
      <c r="O58" s="26"/>
      <c r="P58" s="26"/>
      <c r="Q58" s="26"/>
    </row>
    <row r="59" spans="1:17" outlineLevel="4" x14ac:dyDescent="0.3">
      <c r="A59" s="175" t="s">
        <v>111</v>
      </c>
      <c r="B59" s="176">
        <v>0.59096369179999997</v>
      </c>
      <c r="C59" s="176">
        <v>24.533266701790001</v>
      </c>
      <c r="D59" s="198">
        <v>3.4949999999999998E-3</v>
      </c>
      <c r="E59" s="26"/>
      <c r="F59" s="26"/>
      <c r="G59" s="26"/>
      <c r="H59" s="26"/>
      <c r="I59" s="26"/>
      <c r="J59" s="26"/>
      <c r="K59" s="26"/>
      <c r="L59" s="26"/>
      <c r="M59" s="26"/>
      <c r="N59" s="26"/>
      <c r="O59" s="26"/>
      <c r="P59" s="26"/>
      <c r="Q59" s="26"/>
    </row>
    <row r="60" spans="1:17" outlineLevel="4" x14ac:dyDescent="0.3">
      <c r="A60" s="175" t="s">
        <v>112</v>
      </c>
      <c r="B60" s="176">
        <v>0.10405983548</v>
      </c>
      <c r="C60" s="176">
        <v>4.3199400100699998</v>
      </c>
      <c r="D60" s="198">
        <v>6.1499999999999999E-4</v>
      </c>
      <c r="E60" s="26"/>
      <c r="F60" s="26"/>
      <c r="G60" s="26"/>
      <c r="H60" s="26"/>
      <c r="I60" s="26"/>
      <c r="J60" s="26"/>
      <c r="K60" s="26"/>
      <c r="L60" s="26"/>
      <c r="M60" s="26"/>
      <c r="N60" s="26"/>
      <c r="O60" s="26"/>
      <c r="P60" s="26"/>
      <c r="Q60" s="26"/>
    </row>
    <row r="61" spans="1:17" outlineLevel="4" x14ac:dyDescent="0.3">
      <c r="A61" s="175" t="s">
        <v>113</v>
      </c>
      <c r="B61" s="176">
        <v>0.1</v>
      </c>
      <c r="C61" s="176">
        <v>4.1513999999999998</v>
      </c>
      <c r="D61" s="198">
        <v>5.9100000000000005E-4</v>
      </c>
      <c r="E61" s="26"/>
      <c r="F61" s="26"/>
      <c r="G61" s="26"/>
      <c r="H61" s="26"/>
      <c r="I61" s="26"/>
      <c r="J61" s="26"/>
      <c r="K61" s="26"/>
      <c r="L61" s="26"/>
      <c r="M61" s="26"/>
      <c r="N61" s="26"/>
      <c r="O61" s="26"/>
      <c r="P61" s="26"/>
      <c r="Q61" s="26"/>
    </row>
    <row r="62" spans="1:17" outlineLevel="4" x14ac:dyDescent="0.3">
      <c r="A62" s="175" t="s">
        <v>114</v>
      </c>
      <c r="B62" s="176">
        <v>5.1251526E-4</v>
      </c>
      <c r="C62" s="176">
        <v>2.1276558500000001E-2</v>
      </c>
      <c r="D62" s="198">
        <v>3.0000000000000001E-6</v>
      </c>
      <c r="E62" s="26"/>
      <c r="F62" s="26"/>
      <c r="G62" s="26"/>
      <c r="H62" s="26"/>
      <c r="I62" s="26"/>
      <c r="J62" s="26"/>
      <c r="K62" s="26"/>
      <c r="L62" s="26"/>
      <c r="M62" s="26"/>
      <c r="N62" s="26"/>
      <c r="O62" s="26"/>
      <c r="P62" s="26"/>
      <c r="Q62" s="26"/>
    </row>
    <row r="63" spans="1:17" outlineLevel="4" x14ac:dyDescent="0.3">
      <c r="A63" s="175" t="s">
        <v>115</v>
      </c>
      <c r="B63" s="176">
        <v>0.46630740122999997</v>
      </c>
      <c r="C63" s="176">
        <v>19.35828545499</v>
      </c>
      <c r="D63" s="198">
        <v>2.758E-3</v>
      </c>
      <c r="E63" s="26"/>
      <c r="F63" s="26"/>
      <c r="G63" s="26"/>
      <c r="H63" s="26"/>
      <c r="I63" s="26"/>
      <c r="J63" s="26"/>
      <c r="K63" s="26"/>
      <c r="L63" s="26"/>
      <c r="M63" s="26"/>
      <c r="N63" s="26"/>
      <c r="O63" s="26"/>
      <c r="P63" s="26"/>
      <c r="Q63" s="26"/>
    </row>
    <row r="64" spans="1:17" outlineLevel="4" x14ac:dyDescent="0.3">
      <c r="A64" s="175" t="s">
        <v>116</v>
      </c>
      <c r="B64" s="176">
        <v>0.89153723285999997</v>
      </c>
      <c r="C64" s="176">
        <v>37.011276685539997</v>
      </c>
      <c r="D64" s="198">
        <v>5.2729999999999999E-3</v>
      </c>
      <c r="E64" s="26"/>
      <c r="F64" s="26"/>
      <c r="G64" s="26"/>
      <c r="H64" s="26"/>
      <c r="I64" s="26"/>
      <c r="J64" s="26"/>
      <c r="K64" s="26"/>
      <c r="L64" s="26"/>
      <c r="M64" s="26"/>
      <c r="N64" s="26"/>
      <c r="O64" s="26"/>
      <c r="P64" s="26"/>
      <c r="Q64" s="26"/>
    </row>
    <row r="65" spans="1:17" ht="14" outlineLevel="3" x14ac:dyDescent="0.35">
      <c r="A65" s="199" t="s">
        <v>117</v>
      </c>
      <c r="B65" s="200">
        <f>SUM(B$66:B$66)</f>
        <v>0.60585586000000002</v>
      </c>
      <c r="C65" s="200">
        <f>SUM(C$66:C$66)</f>
        <v>25.151500172039999</v>
      </c>
      <c r="D65" s="201">
        <f>SUM(D$66:D$66)</f>
        <v>3.5829999999999998E-3</v>
      </c>
      <c r="E65" s="26"/>
      <c r="F65" s="26"/>
      <c r="G65" s="26"/>
      <c r="H65" s="26"/>
      <c r="I65" s="26"/>
      <c r="J65" s="26"/>
      <c r="K65" s="26"/>
      <c r="L65" s="26"/>
      <c r="M65" s="26"/>
      <c r="N65" s="26"/>
      <c r="O65" s="26"/>
      <c r="P65" s="26"/>
      <c r="Q65" s="26"/>
    </row>
    <row r="66" spans="1:17" outlineLevel="4" x14ac:dyDescent="0.3">
      <c r="A66" s="175" t="s">
        <v>118</v>
      </c>
      <c r="B66" s="176">
        <v>0.60585586000000002</v>
      </c>
      <c r="C66" s="176">
        <v>25.151500172039999</v>
      </c>
      <c r="D66" s="198">
        <v>3.5829999999999998E-3</v>
      </c>
      <c r="E66" s="26"/>
      <c r="F66" s="26"/>
      <c r="G66" s="26"/>
      <c r="H66" s="26"/>
      <c r="I66" s="26"/>
      <c r="J66" s="26"/>
      <c r="K66" s="26"/>
      <c r="L66" s="26"/>
      <c r="M66" s="26"/>
      <c r="N66" s="26"/>
      <c r="O66" s="26"/>
      <c r="P66" s="26"/>
      <c r="Q66" s="26"/>
    </row>
    <row r="67" spans="1:17" ht="14" outlineLevel="3" x14ac:dyDescent="0.35">
      <c r="A67" s="199" t="s">
        <v>119</v>
      </c>
      <c r="B67" s="200">
        <f>SUM(B$68:B$73)</f>
        <v>1.45118764899</v>
      </c>
      <c r="C67" s="200">
        <f>SUM(C$68:C$73)</f>
        <v>60.24460406064</v>
      </c>
      <c r="D67" s="201">
        <f>SUM(D$68:D$73)</f>
        <v>8.5830000000000004E-3</v>
      </c>
      <c r="E67" s="26"/>
      <c r="F67" s="26"/>
      <c r="G67" s="26"/>
      <c r="H67" s="26"/>
      <c r="I67" s="26"/>
      <c r="J67" s="26"/>
      <c r="K67" s="26"/>
      <c r="L67" s="26"/>
      <c r="M67" s="26"/>
      <c r="N67" s="26"/>
      <c r="O67" s="26"/>
      <c r="P67" s="26"/>
      <c r="Q67" s="26"/>
    </row>
    <row r="68" spans="1:17" outlineLevel="4" x14ac:dyDescent="0.3">
      <c r="A68" s="175" t="s">
        <v>120</v>
      </c>
      <c r="B68" s="176">
        <v>0.68100472127</v>
      </c>
      <c r="C68" s="176">
        <v>28.271229999999999</v>
      </c>
      <c r="D68" s="198">
        <v>4.0280000000000003E-3</v>
      </c>
      <c r="E68" s="26"/>
      <c r="F68" s="26"/>
      <c r="G68" s="26"/>
      <c r="H68" s="26"/>
      <c r="I68" s="26"/>
      <c r="J68" s="26"/>
      <c r="K68" s="26"/>
      <c r="L68" s="26"/>
      <c r="M68" s="26"/>
      <c r="N68" s="26"/>
      <c r="O68" s="26"/>
      <c r="P68" s="26"/>
      <c r="Q68" s="26"/>
    </row>
    <row r="69" spans="1:17" outlineLevel="4" x14ac:dyDescent="0.3">
      <c r="A69" s="175" t="s">
        <v>121</v>
      </c>
      <c r="B69" s="176">
        <v>5.3568040000000002E-5</v>
      </c>
      <c r="C69" s="176">
        <v>2.2238236500000002E-3</v>
      </c>
      <c r="D69" s="198">
        <v>0</v>
      </c>
      <c r="E69" s="26"/>
      <c r="F69" s="26"/>
      <c r="G69" s="26"/>
      <c r="H69" s="26"/>
      <c r="I69" s="26"/>
      <c r="J69" s="26"/>
      <c r="K69" s="26"/>
      <c r="L69" s="26"/>
      <c r="M69" s="26"/>
      <c r="N69" s="26"/>
      <c r="O69" s="26"/>
      <c r="P69" s="26"/>
      <c r="Q69" s="26"/>
    </row>
    <row r="70" spans="1:17" outlineLevel="4" x14ac:dyDescent="0.3">
      <c r="A70" s="175" t="s">
        <v>122</v>
      </c>
      <c r="B70" s="176">
        <v>6.7266123600000002E-3</v>
      </c>
      <c r="C70" s="176">
        <v>0.27924858544999998</v>
      </c>
      <c r="D70" s="198">
        <v>4.0000000000000003E-5</v>
      </c>
      <c r="E70" s="26"/>
      <c r="F70" s="26"/>
      <c r="G70" s="26"/>
      <c r="H70" s="26"/>
      <c r="I70" s="26"/>
      <c r="J70" s="26"/>
      <c r="K70" s="26"/>
      <c r="L70" s="26"/>
      <c r="M70" s="26"/>
      <c r="N70" s="26"/>
      <c r="O70" s="26"/>
      <c r="P70" s="26"/>
      <c r="Q70" s="26"/>
    </row>
    <row r="71" spans="1:17" outlineLevel="4" x14ac:dyDescent="0.3">
      <c r="A71" s="175" t="s">
        <v>123</v>
      </c>
      <c r="B71" s="176">
        <v>0.18669896827999999</v>
      </c>
      <c r="C71" s="176">
        <v>7.7506209689899999</v>
      </c>
      <c r="D71" s="198">
        <v>1.1039999999999999E-3</v>
      </c>
      <c r="E71" s="26"/>
      <c r="F71" s="26"/>
      <c r="G71" s="26"/>
      <c r="H71" s="26"/>
      <c r="I71" s="26"/>
      <c r="J71" s="26"/>
      <c r="K71" s="26"/>
      <c r="L71" s="26"/>
      <c r="M71" s="26"/>
      <c r="N71" s="26"/>
      <c r="O71" s="26"/>
      <c r="P71" s="26"/>
      <c r="Q71" s="26"/>
    </row>
    <row r="72" spans="1:17" outlineLevel="4" x14ac:dyDescent="0.3">
      <c r="A72" s="175" t="s">
        <v>124</v>
      </c>
      <c r="B72" s="176">
        <v>0.40870868744</v>
      </c>
      <c r="C72" s="176">
        <v>16.967132449979999</v>
      </c>
      <c r="D72" s="198">
        <v>2.4169999999999999E-3</v>
      </c>
      <c r="E72" s="26"/>
      <c r="F72" s="26"/>
      <c r="G72" s="26"/>
      <c r="H72" s="26"/>
      <c r="I72" s="26"/>
      <c r="J72" s="26"/>
      <c r="K72" s="26"/>
      <c r="L72" s="26"/>
      <c r="M72" s="26"/>
      <c r="N72" s="26"/>
      <c r="O72" s="26"/>
      <c r="P72" s="26"/>
      <c r="Q72" s="26"/>
    </row>
    <row r="73" spans="1:17" outlineLevel="4" x14ac:dyDescent="0.3">
      <c r="A73" s="175" t="s">
        <v>125</v>
      </c>
      <c r="B73" s="176">
        <v>0.16799509160000001</v>
      </c>
      <c r="C73" s="176">
        <v>6.9741482325700002</v>
      </c>
      <c r="D73" s="198">
        <v>9.9400000000000009E-4</v>
      </c>
      <c r="E73" s="26"/>
      <c r="F73" s="26"/>
      <c r="G73" s="26"/>
      <c r="H73" s="26"/>
      <c r="I73" s="26"/>
      <c r="J73" s="26"/>
      <c r="K73" s="26"/>
      <c r="L73" s="26"/>
      <c r="M73" s="26"/>
      <c r="N73" s="26"/>
      <c r="O73" s="26"/>
      <c r="P73" s="26"/>
      <c r="Q73" s="26"/>
    </row>
    <row r="74" spans="1:17" ht="14" outlineLevel="3" x14ac:dyDescent="0.35">
      <c r="A74" s="199" t="s">
        <v>126</v>
      </c>
      <c r="B74" s="200">
        <f>SUM(B$75:B$75)</f>
        <v>15.219165084</v>
      </c>
      <c r="C74" s="200">
        <f>SUM(C$75:C$75)</f>
        <v>631.80841929718997</v>
      </c>
      <c r="D74" s="201">
        <f>SUM(D$75:D$75)</f>
        <v>9.0007000000000004E-2</v>
      </c>
      <c r="E74" s="26"/>
      <c r="F74" s="26"/>
      <c r="G74" s="26"/>
      <c r="H74" s="26"/>
      <c r="I74" s="26"/>
      <c r="J74" s="26"/>
      <c r="K74" s="26"/>
      <c r="L74" s="26"/>
      <c r="M74" s="26"/>
      <c r="N74" s="26"/>
      <c r="O74" s="26"/>
      <c r="P74" s="26"/>
      <c r="Q74" s="26"/>
    </row>
    <row r="75" spans="1:17" outlineLevel="4" x14ac:dyDescent="0.3">
      <c r="A75" s="175" t="s">
        <v>134</v>
      </c>
      <c r="B75" s="176">
        <v>15.219165084</v>
      </c>
      <c r="C75" s="176">
        <v>631.80841929718997</v>
      </c>
      <c r="D75" s="198">
        <v>9.0007000000000004E-2</v>
      </c>
      <c r="E75" s="26"/>
      <c r="F75" s="26"/>
      <c r="G75" s="26"/>
      <c r="H75" s="26"/>
      <c r="I75" s="26"/>
      <c r="J75" s="26"/>
      <c r="K75" s="26"/>
      <c r="L75" s="26"/>
      <c r="M75" s="26"/>
      <c r="N75" s="26"/>
      <c r="O75" s="26"/>
      <c r="P75" s="26"/>
      <c r="Q75" s="26"/>
    </row>
    <row r="76" spans="1:17" ht="14" outlineLevel="3" x14ac:dyDescent="0.35">
      <c r="A76" s="199" t="s">
        <v>135</v>
      </c>
      <c r="B76" s="200">
        <f>SUM(B$77:B$77)</f>
        <v>3</v>
      </c>
      <c r="C76" s="200">
        <f>SUM(C$77:C$77)</f>
        <v>124.542</v>
      </c>
      <c r="D76" s="201">
        <f>SUM(D$77:D$77)</f>
        <v>1.7742000000000001E-2</v>
      </c>
      <c r="E76" s="26"/>
      <c r="F76" s="26"/>
      <c r="G76" s="26"/>
      <c r="H76" s="26"/>
      <c r="I76" s="26"/>
      <c r="J76" s="26"/>
      <c r="K76" s="26"/>
      <c r="L76" s="26"/>
      <c r="M76" s="26"/>
      <c r="N76" s="26"/>
      <c r="O76" s="26"/>
      <c r="P76" s="26"/>
      <c r="Q76" s="26"/>
    </row>
    <row r="77" spans="1:17" outlineLevel="4" x14ac:dyDescent="0.3">
      <c r="A77" s="175" t="s">
        <v>136</v>
      </c>
      <c r="B77" s="176">
        <v>3</v>
      </c>
      <c r="C77" s="176">
        <v>124.542</v>
      </c>
      <c r="D77" s="198">
        <v>1.7742000000000001E-2</v>
      </c>
      <c r="E77" s="26"/>
      <c r="F77" s="26"/>
      <c r="G77" s="26"/>
      <c r="H77" s="26"/>
      <c r="I77" s="26"/>
      <c r="J77" s="26"/>
      <c r="K77" s="26"/>
      <c r="L77" s="26"/>
      <c r="M77" s="26"/>
      <c r="N77" s="26"/>
      <c r="O77" s="26"/>
      <c r="P77" s="26"/>
      <c r="Q77" s="26"/>
    </row>
    <row r="78" spans="1:17" ht="14" outlineLevel="3" x14ac:dyDescent="0.35">
      <c r="A78" s="199" t="s">
        <v>137</v>
      </c>
      <c r="B78" s="200">
        <f>SUM(B$79:B$79)</f>
        <v>4.1315022362200002</v>
      </c>
      <c r="C78" s="200">
        <f>SUM(C$79:C$79)</f>
        <v>171.51518383453001</v>
      </c>
      <c r="D78" s="201">
        <f>SUM(D$79:D$79)</f>
        <v>2.4434000000000001E-2</v>
      </c>
      <c r="E78" s="26"/>
      <c r="F78" s="26"/>
      <c r="G78" s="26"/>
      <c r="H78" s="26"/>
      <c r="I78" s="26"/>
      <c r="J78" s="26"/>
      <c r="K78" s="26"/>
      <c r="L78" s="26"/>
      <c r="M78" s="26"/>
      <c r="N78" s="26"/>
      <c r="O78" s="26"/>
      <c r="P78" s="26"/>
      <c r="Q78" s="26"/>
    </row>
    <row r="79" spans="1:17" outlineLevel="4" x14ac:dyDescent="0.3">
      <c r="A79" s="175" t="s">
        <v>104</v>
      </c>
      <c r="B79" s="176">
        <v>4.1315022362200002</v>
      </c>
      <c r="C79" s="176">
        <v>171.51518383453001</v>
      </c>
      <c r="D79" s="198">
        <v>2.4434000000000001E-2</v>
      </c>
      <c r="E79" s="26"/>
      <c r="F79" s="26"/>
      <c r="G79" s="26"/>
      <c r="H79" s="26"/>
      <c r="I79" s="26"/>
      <c r="J79" s="26"/>
      <c r="K79" s="26"/>
      <c r="L79" s="26"/>
      <c r="M79" s="26"/>
      <c r="N79" s="26"/>
      <c r="O79" s="26"/>
      <c r="P79" s="26"/>
      <c r="Q79" s="26"/>
    </row>
    <row r="80" spans="1:17" ht="14.5" outlineLevel="1" x14ac:dyDescent="0.35">
      <c r="A80" s="205" t="s">
        <v>2</v>
      </c>
      <c r="B80" s="206">
        <f>B$81+B$96</f>
        <v>6.7295851597800009</v>
      </c>
      <c r="C80" s="206">
        <f>C$81+C$96</f>
        <v>279.37199832290003</v>
      </c>
      <c r="D80" s="207">
        <f>D$81+D$96</f>
        <v>3.9799000000000001E-2</v>
      </c>
      <c r="E80" s="26"/>
      <c r="F80" s="26"/>
      <c r="G80" s="26"/>
      <c r="H80" s="26"/>
      <c r="I80" s="26"/>
      <c r="J80" s="26"/>
      <c r="K80" s="26"/>
      <c r="L80" s="26"/>
      <c r="M80" s="26"/>
      <c r="N80" s="26"/>
      <c r="O80" s="26"/>
      <c r="P80" s="26"/>
      <c r="Q80" s="26"/>
    </row>
    <row r="81" spans="1:17" ht="14.5" outlineLevel="2" x14ac:dyDescent="0.35">
      <c r="A81" s="202" t="s">
        <v>57</v>
      </c>
      <c r="B81" s="203">
        <f>B$82+B$86+B$94</f>
        <v>1.76290484535</v>
      </c>
      <c r="C81" s="203">
        <f>C$82+C$86+C$94</f>
        <v>73.185231749920007</v>
      </c>
      <c r="D81" s="204">
        <f>D$82+D$86+D$94</f>
        <v>1.0426000000000001E-2</v>
      </c>
      <c r="E81" s="26"/>
      <c r="F81" s="26"/>
      <c r="G81" s="26"/>
      <c r="H81" s="26"/>
      <c r="I81" s="26"/>
      <c r="J81" s="26"/>
      <c r="K81" s="26"/>
      <c r="L81" s="26"/>
      <c r="M81" s="26"/>
      <c r="N81" s="26"/>
      <c r="O81" s="26"/>
      <c r="P81" s="26"/>
      <c r="Q81" s="26"/>
    </row>
    <row r="82" spans="1:17" ht="14" outlineLevel="3" x14ac:dyDescent="0.35">
      <c r="A82" s="199" t="s">
        <v>58</v>
      </c>
      <c r="B82" s="200">
        <f>SUM(B$83:B$85)</f>
        <v>0.10779524016</v>
      </c>
      <c r="C82" s="200">
        <f>SUM(C$83:C$85)</f>
        <v>4.4750116000000002</v>
      </c>
      <c r="D82" s="201">
        <f>SUM(D$83:D$85)</f>
        <v>6.38E-4</v>
      </c>
      <c r="E82" s="26"/>
      <c r="F82" s="26"/>
      <c r="G82" s="26"/>
      <c r="H82" s="26"/>
      <c r="I82" s="26"/>
      <c r="J82" s="26"/>
      <c r="K82" s="26"/>
      <c r="L82" s="26"/>
      <c r="M82" s="26"/>
      <c r="N82" s="26"/>
      <c r="O82" s="26"/>
      <c r="P82" s="26"/>
      <c r="Q82" s="26"/>
    </row>
    <row r="83" spans="1:17" outlineLevel="4" x14ac:dyDescent="0.3">
      <c r="A83" s="175" t="s">
        <v>138</v>
      </c>
      <c r="B83" s="176">
        <v>2.7942E-7</v>
      </c>
      <c r="C83" s="176">
        <v>1.1600000000000001E-5</v>
      </c>
      <c r="D83" s="198">
        <v>0</v>
      </c>
      <c r="E83" s="26"/>
      <c r="F83" s="26"/>
      <c r="G83" s="26"/>
      <c r="H83" s="26"/>
      <c r="I83" s="26"/>
      <c r="J83" s="26"/>
      <c r="K83" s="26"/>
      <c r="L83" s="26"/>
      <c r="M83" s="26"/>
      <c r="N83" s="26"/>
      <c r="O83" s="26"/>
      <c r="P83" s="26"/>
      <c r="Q83" s="26"/>
    </row>
    <row r="84" spans="1:17" outlineLevel="4" x14ac:dyDescent="0.3">
      <c r="A84" s="175" t="s">
        <v>139</v>
      </c>
      <c r="B84" s="176">
        <v>5.9618441979999999E-2</v>
      </c>
      <c r="C84" s="176">
        <v>2.4750000000000001</v>
      </c>
      <c r="D84" s="198">
        <v>3.5300000000000002E-4</v>
      </c>
      <c r="E84" s="26"/>
      <c r="F84" s="26"/>
      <c r="G84" s="26"/>
      <c r="H84" s="26"/>
      <c r="I84" s="26"/>
      <c r="J84" s="26"/>
      <c r="K84" s="26"/>
      <c r="L84" s="26"/>
      <c r="M84" s="26"/>
      <c r="N84" s="26"/>
      <c r="O84" s="26"/>
      <c r="P84" s="26"/>
      <c r="Q84" s="26"/>
    </row>
    <row r="85" spans="1:17" outlineLevel="4" x14ac:dyDescent="0.3">
      <c r="A85" s="175" t="s">
        <v>144</v>
      </c>
      <c r="B85" s="176">
        <v>4.8176518760000002E-2</v>
      </c>
      <c r="C85" s="176">
        <v>2</v>
      </c>
      <c r="D85" s="198">
        <v>2.8499999999999999E-4</v>
      </c>
      <c r="E85" s="26"/>
      <c r="F85" s="26"/>
      <c r="G85" s="26"/>
      <c r="H85" s="26"/>
      <c r="I85" s="26"/>
      <c r="J85" s="26"/>
      <c r="K85" s="26"/>
      <c r="L85" s="26"/>
      <c r="M85" s="26"/>
      <c r="N85" s="26"/>
      <c r="O85" s="26"/>
      <c r="P85" s="26"/>
      <c r="Q85" s="26"/>
    </row>
    <row r="86" spans="1:17" ht="14" outlineLevel="3" x14ac:dyDescent="0.35">
      <c r="A86" s="199" t="s">
        <v>93</v>
      </c>
      <c r="B86" s="200">
        <f>SUM(B$87:B$93)</f>
        <v>1.6550866093300001</v>
      </c>
      <c r="C86" s="200">
        <f>SUM(C$87:C$93)</f>
        <v>68.709265499920008</v>
      </c>
      <c r="D86" s="201">
        <f>SUM(D$87:D$93)</f>
        <v>9.7880000000000016E-3</v>
      </c>
      <c r="E86" s="26"/>
      <c r="F86" s="26"/>
      <c r="G86" s="26"/>
      <c r="H86" s="26"/>
      <c r="I86" s="26"/>
      <c r="J86" s="26"/>
      <c r="K86" s="26"/>
      <c r="L86" s="26"/>
      <c r="M86" s="26"/>
      <c r="N86" s="26"/>
      <c r="O86" s="26"/>
      <c r="P86" s="26"/>
      <c r="Q86" s="26"/>
    </row>
    <row r="87" spans="1:17" outlineLevel="4" x14ac:dyDescent="0.3">
      <c r="A87" s="175" t="s">
        <v>145</v>
      </c>
      <c r="B87" s="176">
        <v>7.8600606500000003E-2</v>
      </c>
      <c r="C87" s="176">
        <v>3.2630255785100002</v>
      </c>
      <c r="D87" s="198">
        <v>4.6500000000000003E-4</v>
      </c>
      <c r="E87" s="26"/>
      <c r="F87" s="26"/>
      <c r="G87" s="26"/>
      <c r="H87" s="26"/>
      <c r="I87" s="26"/>
      <c r="J87" s="26"/>
      <c r="K87" s="26"/>
      <c r="L87" s="26"/>
      <c r="M87" s="26"/>
      <c r="N87" s="26"/>
      <c r="O87" s="26"/>
      <c r="P87" s="26"/>
      <c r="Q87" s="26"/>
    </row>
    <row r="88" spans="1:17" outlineLevel="4" x14ac:dyDescent="0.3">
      <c r="A88" s="175" t="s">
        <v>146</v>
      </c>
      <c r="B88" s="176">
        <v>6.5000000199999996E-3</v>
      </c>
      <c r="C88" s="176">
        <v>0.26984100083000001</v>
      </c>
      <c r="D88" s="198">
        <v>3.8000000000000002E-5</v>
      </c>
      <c r="E88" s="26"/>
      <c r="F88" s="26"/>
      <c r="G88" s="26"/>
      <c r="H88" s="26"/>
      <c r="I88" s="26"/>
      <c r="J88" s="26"/>
      <c r="K88" s="26"/>
      <c r="L88" s="26"/>
      <c r="M88" s="26"/>
      <c r="N88" s="26"/>
      <c r="O88" s="26"/>
      <c r="P88" s="26"/>
      <c r="Q88" s="26"/>
    </row>
    <row r="89" spans="1:17" outlineLevel="4" x14ac:dyDescent="0.3">
      <c r="A89" s="175" t="s">
        <v>147</v>
      </c>
      <c r="B89" s="176">
        <v>0.40726282439</v>
      </c>
      <c r="C89" s="176">
        <v>16.907108891290001</v>
      </c>
      <c r="D89" s="198">
        <v>2.4090000000000001E-3</v>
      </c>
      <c r="E89" s="26"/>
      <c r="F89" s="26"/>
      <c r="G89" s="26"/>
      <c r="H89" s="26"/>
      <c r="I89" s="26"/>
      <c r="J89" s="26"/>
      <c r="K89" s="26"/>
      <c r="L89" s="26"/>
      <c r="M89" s="26"/>
      <c r="N89" s="26"/>
      <c r="O89" s="26"/>
      <c r="P89" s="26"/>
      <c r="Q89" s="26"/>
    </row>
    <row r="90" spans="1:17" outlineLevel="4" x14ac:dyDescent="0.3">
      <c r="A90" s="175" t="s">
        <v>148</v>
      </c>
      <c r="B90" s="176">
        <v>0.35514685483000002</v>
      </c>
      <c r="C90" s="176">
        <v>14.743566531360001</v>
      </c>
      <c r="D90" s="198">
        <v>2.0999999999999999E-3</v>
      </c>
      <c r="E90" s="26"/>
      <c r="F90" s="26"/>
      <c r="G90" s="26"/>
      <c r="H90" s="26"/>
      <c r="I90" s="26"/>
      <c r="J90" s="26"/>
      <c r="K90" s="26"/>
      <c r="L90" s="26"/>
      <c r="M90" s="26"/>
      <c r="N90" s="26"/>
      <c r="O90" s="26"/>
      <c r="P90" s="26"/>
      <c r="Q90" s="26"/>
    </row>
    <row r="91" spans="1:17" outlineLevel="4" x14ac:dyDescent="0.3">
      <c r="A91" s="175" t="s">
        <v>149</v>
      </c>
      <c r="B91" s="176">
        <v>1.489839456E-2</v>
      </c>
      <c r="C91" s="176">
        <v>0.61849195173000004</v>
      </c>
      <c r="D91" s="198">
        <v>8.7999999999999998E-5</v>
      </c>
      <c r="E91" s="26"/>
      <c r="F91" s="26"/>
      <c r="G91" s="26"/>
      <c r="H91" s="26"/>
      <c r="I91" s="26"/>
      <c r="J91" s="26"/>
      <c r="K91" s="26"/>
      <c r="L91" s="26"/>
      <c r="M91" s="26"/>
      <c r="N91" s="26"/>
      <c r="O91" s="26"/>
      <c r="P91" s="26"/>
      <c r="Q91" s="26"/>
    </row>
    <row r="92" spans="1:17" outlineLevel="4" x14ac:dyDescent="0.3">
      <c r="A92" s="175" t="s">
        <v>150</v>
      </c>
      <c r="B92" s="176">
        <v>6.9999999800000002E-3</v>
      </c>
      <c r="C92" s="176">
        <v>0.29059799917000001</v>
      </c>
      <c r="D92" s="198">
        <v>4.1E-5</v>
      </c>
      <c r="E92" s="26"/>
      <c r="F92" s="26"/>
      <c r="G92" s="26"/>
      <c r="H92" s="26"/>
      <c r="I92" s="26"/>
      <c r="J92" s="26"/>
      <c r="K92" s="26"/>
      <c r="L92" s="26"/>
      <c r="M92" s="26"/>
      <c r="N92" s="26"/>
      <c r="O92" s="26"/>
      <c r="P92" s="26"/>
      <c r="Q92" s="26"/>
    </row>
    <row r="93" spans="1:17" outlineLevel="4" x14ac:dyDescent="0.3">
      <c r="A93" s="175" t="s">
        <v>153</v>
      </c>
      <c r="B93" s="176">
        <v>0.78567792905</v>
      </c>
      <c r="C93" s="176">
        <v>32.616633547029998</v>
      </c>
      <c r="D93" s="198">
        <v>4.6470000000000001E-3</v>
      </c>
      <c r="E93" s="26"/>
      <c r="F93" s="26"/>
      <c r="G93" s="26"/>
      <c r="H93" s="26"/>
      <c r="I93" s="26"/>
      <c r="J93" s="26"/>
      <c r="K93" s="26"/>
      <c r="L93" s="26"/>
      <c r="M93" s="26"/>
      <c r="N93" s="26"/>
      <c r="O93" s="26"/>
      <c r="P93" s="26"/>
      <c r="Q93" s="26"/>
    </row>
    <row r="94" spans="1:17" ht="14" outlineLevel="3" x14ac:dyDescent="0.35">
      <c r="A94" s="199" t="s">
        <v>154</v>
      </c>
      <c r="B94" s="200">
        <f>SUM(B$95:B$95)</f>
        <v>2.2995859999999998E-5</v>
      </c>
      <c r="C94" s="200">
        <f>SUM(C$95:C$95)</f>
        <v>9.5465000000000003E-4</v>
      </c>
      <c r="D94" s="201">
        <f>SUM(D$95:D$95)</f>
        <v>0</v>
      </c>
      <c r="E94" s="26"/>
      <c r="F94" s="26"/>
      <c r="G94" s="26"/>
      <c r="H94" s="26"/>
      <c r="I94" s="26"/>
      <c r="J94" s="26"/>
      <c r="K94" s="26"/>
      <c r="L94" s="26"/>
      <c r="M94" s="26"/>
      <c r="N94" s="26"/>
      <c r="O94" s="26"/>
      <c r="P94" s="26"/>
      <c r="Q94" s="26"/>
    </row>
    <row r="95" spans="1:17" outlineLevel="4" x14ac:dyDescent="0.3">
      <c r="A95" s="175" t="s">
        <v>155</v>
      </c>
      <c r="B95" s="176">
        <v>2.2995859999999998E-5</v>
      </c>
      <c r="C95" s="176">
        <v>9.5465000000000003E-4</v>
      </c>
      <c r="D95" s="198">
        <v>0</v>
      </c>
      <c r="E95" s="26"/>
      <c r="F95" s="26"/>
      <c r="G95" s="26"/>
      <c r="H95" s="26"/>
      <c r="I95" s="26"/>
      <c r="J95" s="26"/>
      <c r="K95" s="26"/>
      <c r="L95" s="26"/>
      <c r="M95" s="26"/>
      <c r="N95" s="26"/>
      <c r="O95" s="26"/>
      <c r="P95" s="26"/>
      <c r="Q95" s="26"/>
    </row>
    <row r="96" spans="1:17" ht="14.5" outlineLevel="2" x14ac:dyDescent="0.35">
      <c r="A96" s="202" t="s">
        <v>95</v>
      </c>
      <c r="B96" s="203">
        <f>B$97+B$104+B$107+B$109+B$111</f>
        <v>4.9666803144300005</v>
      </c>
      <c r="C96" s="203">
        <f>C$97+C$104+C$107+C$109+C$111</f>
        <v>206.18676657297999</v>
      </c>
      <c r="D96" s="204">
        <f>D$97+D$104+D$107+D$109+D$111</f>
        <v>2.9372999999999996E-2</v>
      </c>
      <c r="E96" s="26"/>
      <c r="F96" s="26"/>
      <c r="G96" s="26"/>
      <c r="H96" s="26"/>
      <c r="I96" s="26"/>
      <c r="J96" s="26"/>
      <c r="K96" s="26"/>
      <c r="L96" s="26"/>
      <c r="M96" s="26"/>
      <c r="N96" s="26"/>
      <c r="O96" s="26"/>
      <c r="P96" s="26"/>
      <c r="Q96" s="26"/>
    </row>
    <row r="97" spans="1:17" ht="14" outlineLevel="3" x14ac:dyDescent="0.35">
      <c r="A97" s="199" t="s">
        <v>96</v>
      </c>
      <c r="B97" s="200">
        <f>SUM(B$98:B$103)</f>
        <v>2.9986601518000002</v>
      </c>
      <c r="C97" s="200">
        <f>SUM(C$98:C$103)</f>
        <v>124.48637754184</v>
      </c>
      <c r="D97" s="201">
        <f>SUM(D$98:D$103)</f>
        <v>1.7734999999999997E-2</v>
      </c>
      <c r="E97" s="26"/>
      <c r="F97" s="26"/>
      <c r="G97" s="26"/>
      <c r="H97" s="26"/>
      <c r="I97" s="26"/>
      <c r="J97" s="26"/>
      <c r="K97" s="26"/>
      <c r="L97" s="26"/>
      <c r="M97" s="26"/>
      <c r="N97" s="26"/>
      <c r="O97" s="26"/>
      <c r="P97" s="26"/>
      <c r="Q97" s="26"/>
    </row>
    <row r="98" spans="1:17" outlineLevel="4" x14ac:dyDescent="0.3">
      <c r="A98" s="175" t="s">
        <v>156</v>
      </c>
      <c r="B98" s="176">
        <v>0.31430987136999999</v>
      </c>
      <c r="C98" s="176">
        <v>13.048260000000001</v>
      </c>
      <c r="D98" s="198">
        <v>1.859E-3</v>
      </c>
      <c r="E98" s="26"/>
      <c r="F98" s="26"/>
      <c r="G98" s="26"/>
      <c r="H98" s="26"/>
      <c r="I98" s="26"/>
      <c r="J98" s="26"/>
      <c r="K98" s="26"/>
      <c r="L98" s="26"/>
      <c r="M98" s="26"/>
      <c r="N98" s="26"/>
      <c r="O98" s="26"/>
      <c r="P98" s="26"/>
      <c r="Q98" s="26"/>
    </row>
    <row r="99" spans="1:17" outlineLevel="4" x14ac:dyDescent="0.3">
      <c r="A99" s="175" t="s">
        <v>99</v>
      </c>
      <c r="B99" s="176">
        <v>0.95968797809999995</v>
      </c>
      <c r="C99" s="176">
        <v>39.840486723040001</v>
      </c>
      <c r="D99" s="198">
        <v>5.6759999999999996E-3</v>
      </c>
      <c r="E99" s="26"/>
      <c r="F99" s="26"/>
      <c r="G99" s="26"/>
      <c r="H99" s="26"/>
      <c r="I99" s="26"/>
      <c r="J99" s="26"/>
      <c r="K99" s="26"/>
      <c r="L99" s="26"/>
      <c r="M99" s="26"/>
      <c r="N99" s="26"/>
      <c r="O99" s="26"/>
      <c r="P99" s="26"/>
      <c r="Q99" s="26"/>
    </row>
    <row r="100" spans="1:17" outlineLevel="4" x14ac:dyDescent="0.3">
      <c r="A100" s="175" t="s">
        <v>100</v>
      </c>
      <c r="B100" s="176">
        <v>0.19140065043000001</v>
      </c>
      <c r="C100" s="176">
        <v>7.9458066017300002</v>
      </c>
      <c r="D100" s="198">
        <v>1.132E-3</v>
      </c>
      <c r="E100" s="26"/>
      <c r="F100" s="26"/>
      <c r="G100" s="26"/>
      <c r="H100" s="26"/>
      <c r="I100" s="26"/>
      <c r="J100" s="26"/>
      <c r="K100" s="26"/>
      <c r="L100" s="26"/>
      <c r="M100" s="26"/>
      <c r="N100" s="26"/>
      <c r="O100" s="26"/>
      <c r="P100" s="26"/>
      <c r="Q100" s="26"/>
    </row>
    <row r="101" spans="1:17" outlineLevel="4" x14ac:dyDescent="0.3">
      <c r="A101" s="175" t="s">
        <v>103</v>
      </c>
      <c r="B101" s="176">
        <v>0.51326692550999997</v>
      </c>
      <c r="C101" s="176">
        <v>21.307763145620001</v>
      </c>
      <c r="D101" s="198">
        <v>3.0349999999999999E-3</v>
      </c>
      <c r="E101" s="26"/>
      <c r="F101" s="26"/>
      <c r="G101" s="26"/>
      <c r="H101" s="26"/>
      <c r="I101" s="26"/>
      <c r="J101" s="26"/>
      <c r="K101" s="26"/>
      <c r="L101" s="26"/>
      <c r="M101" s="26"/>
      <c r="N101" s="26"/>
      <c r="O101" s="26"/>
      <c r="P101" s="26"/>
      <c r="Q101" s="26"/>
    </row>
    <row r="102" spans="1:17" outlineLevel="4" x14ac:dyDescent="0.3">
      <c r="A102" s="175" t="s">
        <v>104</v>
      </c>
      <c r="B102" s="176">
        <v>1.01970269339</v>
      </c>
      <c r="C102" s="176">
        <v>42.331937613489998</v>
      </c>
      <c r="D102" s="198">
        <v>6.0309999999999999E-3</v>
      </c>
      <c r="E102" s="26"/>
      <c r="F102" s="26"/>
      <c r="G102" s="26"/>
      <c r="H102" s="26"/>
      <c r="I102" s="26"/>
      <c r="J102" s="26"/>
      <c r="K102" s="26"/>
      <c r="L102" s="26"/>
      <c r="M102" s="26"/>
      <c r="N102" s="26"/>
      <c r="O102" s="26"/>
      <c r="P102" s="26"/>
      <c r="Q102" s="26"/>
    </row>
    <row r="103" spans="1:17" outlineLevel="4" x14ac:dyDescent="0.3">
      <c r="A103" s="175" t="s">
        <v>105</v>
      </c>
      <c r="B103" s="176">
        <v>2.9203299999999997E-4</v>
      </c>
      <c r="C103" s="176">
        <v>1.212345796E-2</v>
      </c>
      <c r="D103" s="198">
        <v>1.9999999999999999E-6</v>
      </c>
      <c r="E103" s="26"/>
      <c r="F103" s="26"/>
      <c r="G103" s="26"/>
      <c r="H103" s="26"/>
      <c r="I103" s="26"/>
      <c r="J103" s="26"/>
      <c r="K103" s="26"/>
      <c r="L103" s="26"/>
      <c r="M103" s="26"/>
      <c r="N103" s="26"/>
      <c r="O103" s="26"/>
      <c r="P103" s="26"/>
      <c r="Q103" s="26"/>
    </row>
    <row r="104" spans="1:17" ht="14" outlineLevel="3" x14ac:dyDescent="0.35">
      <c r="A104" s="199" t="s">
        <v>157</v>
      </c>
      <c r="B104" s="200">
        <f>SUM(B$105:B$106)</f>
        <v>0.85787816407999995</v>
      </c>
      <c r="C104" s="200">
        <f>SUM(C$105:C$106)</f>
        <v>35.613954103519994</v>
      </c>
      <c r="D104" s="201">
        <f>SUM(D$105:D$106)</f>
        <v>5.0729999999999994E-3</v>
      </c>
      <c r="E104" s="26"/>
      <c r="F104" s="26"/>
      <c r="G104" s="26"/>
      <c r="H104" s="26"/>
      <c r="I104" s="26"/>
      <c r="J104" s="26"/>
      <c r="K104" s="26"/>
      <c r="L104" s="26"/>
      <c r="M104" s="26"/>
      <c r="N104" s="26"/>
      <c r="O104" s="26"/>
      <c r="P104" s="26"/>
      <c r="Q104" s="26"/>
    </row>
    <row r="105" spans="1:17" outlineLevel="4" x14ac:dyDescent="0.3">
      <c r="A105" s="175" t="s">
        <v>158</v>
      </c>
      <c r="B105" s="176">
        <v>0.82499999999999996</v>
      </c>
      <c r="C105" s="176">
        <v>34.249049999999997</v>
      </c>
      <c r="D105" s="198">
        <v>4.8789999999999997E-3</v>
      </c>
      <c r="E105" s="26"/>
      <c r="F105" s="26"/>
      <c r="G105" s="26"/>
      <c r="H105" s="26"/>
      <c r="I105" s="26"/>
      <c r="J105" s="26"/>
      <c r="K105" s="26"/>
      <c r="L105" s="26"/>
      <c r="M105" s="26"/>
      <c r="N105" s="26"/>
      <c r="O105" s="26"/>
      <c r="P105" s="26"/>
      <c r="Q105" s="26"/>
    </row>
    <row r="106" spans="1:17" outlineLevel="4" x14ac:dyDescent="0.3">
      <c r="A106" s="175" t="s">
        <v>111</v>
      </c>
      <c r="B106" s="176">
        <v>3.2878164080000001E-2</v>
      </c>
      <c r="C106" s="176">
        <v>1.36490410352</v>
      </c>
      <c r="D106" s="198">
        <v>1.94E-4</v>
      </c>
      <c r="E106" s="26"/>
      <c r="F106" s="26"/>
      <c r="G106" s="26"/>
      <c r="H106" s="26"/>
      <c r="I106" s="26"/>
      <c r="J106" s="26"/>
      <c r="K106" s="26"/>
      <c r="L106" s="26"/>
      <c r="M106" s="26"/>
      <c r="N106" s="26"/>
      <c r="O106" s="26"/>
      <c r="P106" s="26"/>
      <c r="Q106" s="26"/>
    </row>
    <row r="107" spans="1:17" ht="14" outlineLevel="3" x14ac:dyDescent="0.35">
      <c r="A107" s="199" t="s">
        <v>119</v>
      </c>
      <c r="B107" s="200">
        <f>SUM(B$108:B$108)</f>
        <v>0.17853230805</v>
      </c>
      <c r="C107" s="200">
        <f>SUM(C$108:C$108)</f>
        <v>7.4115902363900004</v>
      </c>
      <c r="D107" s="201">
        <f>SUM(D$108:D$108)</f>
        <v>1.0560000000000001E-3</v>
      </c>
      <c r="E107" s="26"/>
      <c r="F107" s="26"/>
      <c r="G107" s="26"/>
      <c r="H107" s="26"/>
      <c r="I107" s="26"/>
      <c r="J107" s="26"/>
      <c r="K107" s="26"/>
      <c r="L107" s="26"/>
      <c r="M107" s="26"/>
      <c r="N107" s="26"/>
      <c r="O107" s="26"/>
      <c r="P107" s="26"/>
      <c r="Q107" s="26"/>
    </row>
    <row r="108" spans="1:17" outlineLevel="4" x14ac:dyDescent="0.3">
      <c r="A108" s="175" t="s">
        <v>159</v>
      </c>
      <c r="B108" s="176">
        <v>0.17853230805</v>
      </c>
      <c r="C108" s="176">
        <v>7.4115902363900004</v>
      </c>
      <c r="D108" s="198">
        <v>1.0560000000000001E-3</v>
      </c>
      <c r="E108" s="26"/>
      <c r="F108" s="26"/>
      <c r="G108" s="26"/>
      <c r="H108" s="26"/>
      <c r="I108" s="26"/>
      <c r="J108" s="26"/>
      <c r="K108" s="26"/>
      <c r="L108" s="26"/>
      <c r="M108" s="26"/>
      <c r="N108" s="26"/>
      <c r="O108" s="26"/>
      <c r="P108" s="26"/>
      <c r="Q108" s="26"/>
    </row>
    <row r="109" spans="1:17" ht="14" outlineLevel="3" x14ac:dyDescent="0.35">
      <c r="A109" s="199" t="s">
        <v>160</v>
      </c>
      <c r="B109" s="200">
        <f>SUM(B$110:B$110)</f>
        <v>0.82499999999999996</v>
      </c>
      <c r="C109" s="200">
        <f>SUM(C$110:C$110)</f>
        <v>34.249049999999997</v>
      </c>
      <c r="D109" s="201">
        <f>SUM(D$110:D$110)</f>
        <v>4.8789999999999997E-3</v>
      </c>
      <c r="E109" s="26"/>
      <c r="F109" s="26"/>
      <c r="G109" s="26"/>
      <c r="H109" s="26"/>
      <c r="I109" s="26"/>
      <c r="J109" s="26"/>
      <c r="K109" s="26"/>
      <c r="L109" s="26"/>
      <c r="M109" s="26"/>
      <c r="N109" s="26"/>
      <c r="O109" s="26"/>
      <c r="P109" s="26"/>
      <c r="Q109" s="26"/>
    </row>
    <row r="110" spans="1:17" outlineLevel="4" x14ac:dyDescent="0.3">
      <c r="A110" s="175" t="s">
        <v>162</v>
      </c>
      <c r="B110" s="176">
        <v>0.82499999999999996</v>
      </c>
      <c r="C110" s="176">
        <v>34.249049999999997</v>
      </c>
      <c r="D110" s="198">
        <v>4.8789999999999997E-3</v>
      </c>
      <c r="E110" s="26"/>
      <c r="F110" s="26"/>
      <c r="G110" s="26"/>
      <c r="H110" s="26"/>
      <c r="I110" s="26"/>
      <c r="J110" s="26"/>
      <c r="K110" s="26"/>
      <c r="L110" s="26"/>
      <c r="M110" s="26"/>
      <c r="N110" s="26"/>
      <c r="O110" s="26"/>
      <c r="P110" s="26"/>
      <c r="Q110" s="26"/>
    </row>
    <row r="111" spans="1:17" ht="14" outlineLevel="3" x14ac:dyDescent="0.35">
      <c r="A111" s="199" t="s">
        <v>137</v>
      </c>
      <c r="B111" s="200">
        <f>SUM(B$112:B$112)</f>
        <v>0.10660969050000001</v>
      </c>
      <c r="C111" s="200">
        <f>SUM(C$112:C$112)</f>
        <v>4.4257946912300001</v>
      </c>
      <c r="D111" s="201">
        <f>SUM(D$112:D$112)</f>
        <v>6.3000000000000003E-4</v>
      </c>
      <c r="E111" s="26"/>
      <c r="F111" s="26"/>
      <c r="G111" s="26"/>
      <c r="H111" s="26"/>
      <c r="I111" s="26"/>
      <c r="J111" s="26"/>
      <c r="K111" s="26"/>
      <c r="L111" s="26"/>
      <c r="M111" s="26"/>
      <c r="N111" s="26"/>
      <c r="O111" s="26"/>
      <c r="P111" s="26"/>
      <c r="Q111" s="26"/>
    </row>
    <row r="112" spans="1:17" outlineLevel="4" x14ac:dyDescent="0.3">
      <c r="A112" s="175" t="s">
        <v>104</v>
      </c>
      <c r="B112" s="176">
        <v>0.10660969050000001</v>
      </c>
      <c r="C112" s="176">
        <v>4.4257946912300001</v>
      </c>
      <c r="D112" s="198">
        <v>6.3000000000000003E-4</v>
      </c>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I180"/>
  <sheetViews>
    <sheetView workbookViewId="0">
      <selection activeCell="A7" sqref="A7"/>
    </sheetView>
  </sheetViews>
  <sheetFormatPr defaultColWidth="9.1796875" defaultRowHeight="10.5" outlineLevelRow="4" x14ac:dyDescent="0.25"/>
  <cols>
    <col min="1" max="1" width="52" style="8" customWidth="1"/>
    <col min="2" max="4" width="15.1796875" style="9" customWidth="1"/>
    <col min="5" max="5" width="9.1796875" style="8" customWidth="1"/>
    <col min="6" max="16384" width="9.1796875" style="8"/>
  </cols>
  <sheetData>
    <row r="1" spans="1:9" s="22" customFormat="1" ht="13" x14ac:dyDescent="0.3">
      <c r="B1" s="23"/>
      <c r="D1" s="23"/>
    </row>
    <row r="2" spans="1:9" s="22" customFormat="1" ht="18.5" x14ac:dyDescent="0.3">
      <c r="A2" s="1" t="str">
        <f>DEBT_AS_OF_CURR_YEAR</f>
        <v>Державний та гарантований державою борг України за поточний рік</v>
      </c>
      <c r="B2" s="1"/>
      <c r="C2" s="1"/>
      <c r="D2" s="1"/>
      <c r="E2" s="7"/>
      <c r="F2" s="7"/>
      <c r="G2" s="7"/>
      <c r="H2" s="7"/>
      <c r="I2" s="7"/>
    </row>
    <row r="3" spans="1:9" s="22" customFormat="1" ht="13" x14ac:dyDescent="0.3">
      <c r="A3" s="24"/>
      <c r="B3" s="23"/>
      <c r="C3" s="23"/>
      <c r="D3" s="23"/>
    </row>
    <row r="4" spans="1:9" s="27" customFormat="1" ht="13" x14ac:dyDescent="0.3">
      <c r="B4" s="28"/>
      <c r="C4" s="28"/>
      <c r="D4" s="28" t="str">
        <f>VALUSD</f>
        <v>млрд. дол. США</v>
      </c>
    </row>
    <row r="5" spans="1:9" s="14" customFormat="1" ht="13" x14ac:dyDescent="0.25">
      <c r="A5" s="12"/>
      <c r="B5" s="13">
        <v>45657</v>
      </c>
      <c r="C5" s="13">
        <v>45688</v>
      </c>
      <c r="D5" s="13">
        <v>45716</v>
      </c>
    </row>
    <row r="6" spans="1:9" s="31" customFormat="1" ht="31" x14ac:dyDescent="0.25">
      <c r="A6" s="141" t="str">
        <f>DEBT_TOTAL</f>
        <v>Загальна сума державного та гарантованого державою боргу</v>
      </c>
      <c r="B6" s="21">
        <f>B$7+B$58</f>
        <v>166.05925130834004</v>
      </c>
      <c r="C6" s="21">
        <f>C$7+C$58</f>
        <v>168.99339180672001</v>
      </c>
      <c r="D6" s="21">
        <f>D$7+D$58</f>
        <v>169.08837600780001</v>
      </c>
    </row>
    <row r="7" spans="1:9" s="127" customFormat="1" ht="14.5" outlineLevel="1" x14ac:dyDescent="0.25">
      <c r="A7" s="168" t="s">
        <v>57</v>
      </c>
      <c r="B7" s="169">
        <f>B$8+B$43</f>
        <v>45.968971226080015</v>
      </c>
      <c r="C7" s="169">
        <f>C$8+C$43</f>
        <v>46.065724925350004</v>
      </c>
      <c r="D7" s="169">
        <f>D$8+D$43</f>
        <v>46.076083150560002</v>
      </c>
    </row>
    <row r="8" spans="1:9" s="17" customFormat="1" ht="14.5" outlineLevel="2" x14ac:dyDescent="0.25">
      <c r="A8" s="170" t="s">
        <v>1</v>
      </c>
      <c r="B8" s="171">
        <f>B$9+B$41</f>
        <v>44.319135028530013</v>
      </c>
      <c r="C8" s="171">
        <f>C$9+C$41</f>
        <v>44.354591580760001</v>
      </c>
      <c r="D8" s="171">
        <f>D$9+D$41</f>
        <v>44.313178305210002</v>
      </c>
    </row>
    <row r="9" spans="1:9" s="18" customFormat="1" ht="13" outlineLevel="3" x14ac:dyDescent="0.25">
      <c r="A9" s="172" t="s">
        <v>58</v>
      </c>
      <c r="B9" s="173">
        <f>SUM(B$10:B$40)</f>
        <v>44.284529596720013</v>
      </c>
      <c r="C9" s="173">
        <f>SUM(C$10:C$40)</f>
        <v>44.319808422980003</v>
      </c>
      <c r="D9" s="173">
        <f>SUM(D$10:D$40)</f>
        <v>44.278135241480001</v>
      </c>
    </row>
    <row r="10" spans="1:9" s="20" customFormat="1" ht="13" outlineLevel="4" x14ac:dyDescent="0.25">
      <c r="A10" s="174" t="s">
        <v>59</v>
      </c>
      <c r="B10" s="166">
        <v>1.39466778468</v>
      </c>
      <c r="C10" s="166">
        <v>1.40183049526</v>
      </c>
      <c r="D10" s="166">
        <v>1.4123052223300001</v>
      </c>
    </row>
    <row r="11" spans="1:9" ht="13" outlineLevel="4" x14ac:dyDescent="0.3">
      <c r="A11" s="175" t="s">
        <v>60</v>
      </c>
      <c r="B11" s="176">
        <v>0.41706510620999998</v>
      </c>
      <c r="C11" s="176">
        <v>0.41920706195000002</v>
      </c>
      <c r="D11" s="176">
        <v>0.42233945175999998</v>
      </c>
      <c r="E11" s="11"/>
      <c r="F11" s="11"/>
      <c r="G11" s="11"/>
    </row>
    <row r="12" spans="1:9" ht="13" outlineLevel="4" x14ac:dyDescent="0.3">
      <c r="A12" s="175" t="s">
        <v>61</v>
      </c>
      <c r="B12" s="176">
        <v>9.0706825079999998E-2</v>
      </c>
      <c r="C12" s="176">
        <v>9.030737103E-2</v>
      </c>
      <c r="D12" s="176">
        <v>9.0949752080000001E-2</v>
      </c>
      <c r="E12" s="11"/>
      <c r="F12" s="11"/>
      <c r="G12" s="11"/>
    </row>
    <row r="13" spans="1:9" ht="13" outlineLevel="4" x14ac:dyDescent="0.3">
      <c r="A13" s="175" t="s">
        <v>62</v>
      </c>
      <c r="B13" s="176">
        <v>1.18937177385</v>
      </c>
      <c r="C13" s="176">
        <v>1.1954801287500001</v>
      </c>
      <c r="D13" s="176">
        <v>1.2044129691300001</v>
      </c>
      <c r="E13" s="11"/>
      <c r="F13" s="11"/>
      <c r="G13" s="11"/>
    </row>
    <row r="14" spans="1:9" ht="13" outlineLevel="4" x14ac:dyDescent="0.3">
      <c r="A14" s="175" t="s">
        <v>63</v>
      </c>
      <c r="B14" s="176">
        <v>0.80163659936999998</v>
      </c>
      <c r="C14" s="176">
        <v>0.80575363068000005</v>
      </c>
      <c r="D14" s="176">
        <v>0.81177436528000002</v>
      </c>
      <c r="E14" s="11"/>
      <c r="F14" s="11"/>
      <c r="G14" s="11"/>
    </row>
    <row r="15" spans="1:9" ht="13" outlineLevel="4" x14ac:dyDescent="0.3">
      <c r="A15" s="175" t="s">
        <v>64</v>
      </c>
      <c r="B15" s="176">
        <v>1.1156307239000001</v>
      </c>
      <c r="C15" s="176">
        <v>1.12136036076</v>
      </c>
      <c r="D15" s="176">
        <v>1.1297393650300001</v>
      </c>
      <c r="E15" s="11"/>
      <c r="F15" s="11"/>
      <c r="G15" s="11"/>
    </row>
    <row r="16" spans="1:9" ht="13" outlineLevel="4" x14ac:dyDescent="0.3">
      <c r="A16" s="175" t="s">
        <v>65</v>
      </c>
      <c r="B16" s="176">
        <v>5.3641408454299997</v>
      </c>
      <c r="C16" s="176">
        <v>5.3916899068299999</v>
      </c>
      <c r="D16" s="176">
        <v>5.4319775738300002</v>
      </c>
      <c r="E16" s="11"/>
      <c r="F16" s="11"/>
      <c r="G16" s="11"/>
    </row>
    <row r="17" spans="1:7" ht="13" outlineLevel="4" x14ac:dyDescent="0.3">
      <c r="A17" s="175" t="s">
        <v>66</v>
      </c>
      <c r="B17" s="176">
        <v>0.28777430481999999</v>
      </c>
      <c r="C17" s="176">
        <v>0.28925225108000002</v>
      </c>
      <c r="D17" s="176">
        <v>0.29141359542</v>
      </c>
      <c r="E17" s="11"/>
      <c r="F17" s="11"/>
      <c r="G17" s="11"/>
    </row>
    <row r="18" spans="1:7" ht="13" outlineLevel="4" x14ac:dyDescent="0.3">
      <c r="A18" s="175" t="s">
        <v>67</v>
      </c>
      <c r="B18" s="176">
        <v>0.64458583697000005</v>
      </c>
      <c r="C18" s="176">
        <v>0.64789628970000002</v>
      </c>
      <c r="D18" s="176">
        <v>0.65273748616000005</v>
      </c>
      <c r="E18" s="11"/>
      <c r="F18" s="11"/>
      <c r="G18" s="11"/>
    </row>
    <row r="19" spans="1:7" ht="13" outlineLevel="4" x14ac:dyDescent="0.3">
      <c r="A19" s="175" t="s">
        <v>68</v>
      </c>
      <c r="B19" s="176">
        <v>6.77509038007</v>
      </c>
      <c r="C19" s="176">
        <v>6.4902280713799998</v>
      </c>
      <c r="D19" s="176">
        <v>6.8226534519399999</v>
      </c>
      <c r="E19" s="11"/>
      <c r="F19" s="11"/>
      <c r="G19" s="11"/>
    </row>
    <row r="20" spans="1:7" ht="13" outlineLevel="4" x14ac:dyDescent="0.3">
      <c r="A20" s="175" t="s">
        <v>69</v>
      </c>
      <c r="B20" s="176">
        <v>0.28777430481999999</v>
      </c>
      <c r="C20" s="176">
        <v>0.28925225108000002</v>
      </c>
      <c r="D20" s="176">
        <v>0.29141359542</v>
      </c>
      <c r="E20" s="11"/>
      <c r="F20" s="11"/>
      <c r="G20" s="11"/>
    </row>
    <row r="21" spans="1:7" ht="13" outlineLevel="4" x14ac:dyDescent="0.3">
      <c r="A21" s="175" t="s">
        <v>70</v>
      </c>
      <c r="B21" s="176">
        <v>0.28777430481999999</v>
      </c>
      <c r="C21" s="176">
        <v>0.28925225108000002</v>
      </c>
      <c r="D21" s="176">
        <v>0.29141359542</v>
      </c>
      <c r="E21" s="11"/>
      <c r="F21" s="11"/>
      <c r="G21" s="11"/>
    </row>
    <row r="22" spans="1:7" ht="13" outlineLevel="4" x14ac:dyDescent="0.3">
      <c r="A22" s="175" t="s">
        <v>71</v>
      </c>
      <c r="B22" s="176">
        <v>6.7944584315099998</v>
      </c>
      <c r="C22" s="176">
        <v>6.4784971140799996</v>
      </c>
      <c r="D22" s="176">
        <v>6.6188429927100003</v>
      </c>
      <c r="E22" s="11"/>
      <c r="F22" s="11"/>
      <c r="G22" s="11"/>
    </row>
    <row r="23" spans="1:7" ht="13" outlineLevel="4" x14ac:dyDescent="0.3">
      <c r="A23" s="175" t="s">
        <v>72</v>
      </c>
      <c r="B23" s="176">
        <v>0.28777430481999999</v>
      </c>
      <c r="C23" s="176">
        <v>0.28925225108000002</v>
      </c>
      <c r="D23" s="176">
        <v>0.29141359542</v>
      </c>
      <c r="E23" s="11"/>
      <c r="F23" s="11"/>
      <c r="G23" s="11"/>
    </row>
    <row r="24" spans="1:7" ht="13" outlineLevel="4" x14ac:dyDescent="0.3">
      <c r="A24" s="175" t="s">
        <v>73</v>
      </c>
      <c r="B24" s="176">
        <v>0.28777430481999999</v>
      </c>
      <c r="C24" s="176">
        <v>0.28925225108000002</v>
      </c>
      <c r="D24" s="176">
        <v>0.29141359542</v>
      </c>
      <c r="E24" s="11"/>
      <c r="F24" s="11"/>
      <c r="G24" s="11"/>
    </row>
    <row r="25" spans="1:7" ht="13" outlineLevel="4" x14ac:dyDescent="0.3">
      <c r="A25" s="175" t="s">
        <v>74</v>
      </c>
      <c r="B25" s="176">
        <v>0.28777430481999999</v>
      </c>
      <c r="C25" s="176">
        <v>0.28925225108000002</v>
      </c>
      <c r="D25" s="176">
        <v>0.29141359542</v>
      </c>
      <c r="E25" s="11"/>
      <c r="F25" s="11"/>
      <c r="G25" s="11"/>
    </row>
    <row r="26" spans="1:7" ht="13" outlineLevel="4" x14ac:dyDescent="0.3">
      <c r="A26" s="175" t="s">
        <v>75</v>
      </c>
      <c r="B26" s="176">
        <v>0.28777430481999999</v>
      </c>
      <c r="C26" s="176">
        <v>0.28925225108000002</v>
      </c>
      <c r="D26" s="176">
        <v>0.29141359542</v>
      </c>
      <c r="E26" s="11"/>
      <c r="F26" s="11"/>
      <c r="G26" s="11"/>
    </row>
    <row r="27" spans="1:7" ht="13" outlineLevel="4" x14ac:dyDescent="0.3">
      <c r="A27" s="175" t="s">
        <v>76</v>
      </c>
      <c r="B27" s="176">
        <v>0.28777430481999999</v>
      </c>
      <c r="C27" s="176">
        <v>0.28925225108000002</v>
      </c>
      <c r="D27" s="176">
        <v>0.29141359542</v>
      </c>
      <c r="E27" s="11"/>
      <c r="F27" s="11"/>
      <c r="G27" s="11"/>
    </row>
    <row r="28" spans="1:7" ht="13" outlineLevel="4" x14ac:dyDescent="0.3">
      <c r="A28" s="175" t="s">
        <v>77</v>
      </c>
      <c r="B28" s="176">
        <v>0.28777430481999999</v>
      </c>
      <c r="C28" s="176">
        <v>0.28925225108000002</v>
      </c>
      <c r="D28" s="176">
        <v>0.29141359542</v>
      </c>
      <c r="E28" s="11"/>
      <c r="F28" s="11"/>
      <c r="G28" s="11"/>
    </row>
    <row r="29" spans="1:7" ht="13" outlineLevel="4" x14ac:dyDescent="0.3">
      <c r="A29" s="175" t="s">
        <v>78</v>
      </c>
      <c r="B29" s="176">
        <v>0.28777430481999999</v>
      </c>
      <c r="C29" s="176">
        <v>0.28925225108000002</v>
      </c>
      <c r="D29" s="176">
        <v>0.29141359542</v>
      </c>
      <c r="E29" s="11"/>
      <c r="F29" s="11"/>
      <c r="G29" s="11"/>
    </row>
    <row r="30" spans="1:7" ht="13" outlineLevel="4" x14ac:dyDescent="0.3">
      <c r="A30" s="175" t="s">
        <v>79</v>
      </c>
      <c r="B30" s="176">
        <v>0.28777430481999999</v>
      </c>
      <c r="C30" s="176">
        <v>0.28925225108000002</v>
      </c>
      <c r="D30" s="176">
        <v>0.29141359542</v>
      </c>
      <c r="E30" s="11"/>
      <c r="F30" s="11"/>
      <c r="G30" s="11"/>
    </row>
    <row r="31" spans="1:7" ht="13" outlineLevel="4" x14ac:dyDescent="0.3">
      <c r="A31" s="175" t="s">
        <v>80</v>
      </c>
      <c r="B31" s="176">
        <v>0.28777430481999999</v>
      </c>
      <c r="C31" s="176">
        <v>0.28925225108000002</v>
      </c>
      <c r="D31" s="176">
        <v>0.29141359542</v>
      </c>
      <c r="E31" s="11"/>
      <c r="F31" s="11"/>
      <c r="G31" s="11"/>
    </row>
    <row r="32" spans="1:7" ht="13" outlineLevel="4" x14ac:dyDescent="0.3">
      <c r="A32" s="175" t="s">
        <v>81</v>
      </c>
      <c r="B32" s="176">
        <v>0.28777430481999999</v>
      </c>
      <c r="C32" s="176">
        <v>0.28925225108000002</v>
      </c>
      <c r="D32" s="176">
        <v>0.29141359542</v>
      </c>
      <c r="E32" s="11"/>
      <c r="F32" s="11"/>
      <c r="G32" s="11"/>
    </row>
    <row r="33" spans="1:7" ht="13" outlineLevel="4" x14ac:dyDescent="0.3">
      <c r="A33" s="175" t="s">
        <v>83</v>
      </c>
      <c r="B33" s="176">
        <v>6.7689049215299999</v>
      </c>
      <c r="C33" s="176">
        <v>6.8046987867600004</v>
      </c>
      <c r="D33" s="176">
        <v>7.0964273016100003</v>
      </c>
      <c r="E33" s="11"/>
      <c r="F33" s="11"/>
      <c r="G33" s="11"/>
    </row>
    <row r="34" spans="1:7" ht="13" outlineLevel="4" x14ac:dyDescent="0.3">
      <c r="A34" s="175" t="s">
        <v>84</v>
      </c>
      <c r="B34" s="176">
        <v>6.1156961631</v>
      </c>
      <c r="C34" s="176">
        <v>6.1471050492300003</v>
      </c>
      <c r="D34" s="176">
        <v>6.1930373127399996</v>
      </c>
      <c r="E34" s="11"/>
      <c r="F34" s="11"/>
      <c r="G34" s="11"/>
    </row>
    <row r="35" spans="1:7" ht="13" outlineLevel="4" x14ac:dyDescent="0.3">
      <c r="A35" s="175" t="s">
        <v>85</v>
      </c>
      <c r="B35" s="176">
        <v>0.38516142152999999</v>
      </c>
      <c r="C35" s="176">
        <v>0.86533157836999997</v>
      </c>
      <c r="D35" s="176">
        <v>0.87179748997999995</v>
      </c>
      <c r="E35" s="11"/>
      <c r="F35" s="11"/>
      <c r="G35" s="11"/>
    </row>
    <row r="36" spans="1:7" ht="13" outlineLevel="4" x14ac:dyDescent="0.3">
      <c r="A36" s="175" t="s">
        <v>86</v>
      </c>
      <c r="B36" s="176">
        <v>1.09586897881</v>
      </c>
      <c r="C36" s="176">
        <v>1.10149712366</v>
      </c>
      <c r="D36" s="176">
        <v>1.10972770632</v>
      </c>
      <c r="E36" s="11"/>
      <c r="F36" s="11"/>
      <c r="G36" s="11"/>
    </row>
    <row r="37" spans="1:7" ht="13" outlineLevel="4" x14ac:dyDescent="0.3">
      <c r="A37" s="175" t="s">
        <v>88</v>
      </c>
      <c r="B37" s="176">
        <v>0.97719753088000005</v>
      </c>
      <c r="C37" s="176">
        <v>0.98221620497999995</v>
      </c>
      <c r="D37" s="176">
        <v>0</v>
      </c>
      <c r="E37" s="11"/>
      <c r="F37" s="11"/>
      <c r="G37" s="11"/>
    </row>
    <row r="38" spans="1:7" ht="13" outlineLevel="4" x14ac:dyDescent="0.3">
      <c r="A38" s="175" t="s">
        <v>89</v>
      </c>
      <c r="B38" s="176">
        <v>0.42298082732999998</v>
      </c>
      <c r="C38" s="176">
        <v>0.42515316491999999</v>
      </c>
      <c r="D38" s="176">
        <v>0.42832998505999997</v>
      </c>
      <c r="E38" s="11"/>
      <c r="F38" s="11"/>
      <c r="G38" s="11"/>
    </row>
    <row r="39" spans="1:7" ht="13" outlineLevel="4" x14ac:dyDescent="0.3">
      <c r="A39" s="175" t="s">
        <v>90</v>
      </c>
      <c r="B39" s="176">
        <v>5.9468588689999997E-2</v>
      </c>
      <c r="C39" s="176">
        <v>5.9774006439999999E-2</v>
      </c>
      <c r="D39" s="176">
        <v>6.0220648459999998E-2</v>
      </c>
      <c r="E39" s="11"/>
      <c r="F39" s="11"/>
      <c r="G39" s="11"/>
    </row>
    <row r="40" spans="1:7" ht="13" outlineLevel="4" x14ac:dyDescent="0.3">
      <c r="A40" s="175" t="s">
        <v>92</v>
      </c>
      <c r="B40" s="176">
        <v>0.13083089512000001</v>
      </c>
      <c r="C40" s="176">
        <v>0.13150281416000001</v>
      </c>
      <c r="D40" s="176">
        <v>0.13248542660000001</v>
      </c>
      <c r="E40" s="11"/>
      <c r="F40" s="11"/>
      <c r="G40" s="11"/>
    </row>
    <row r="41" spans="1:7" ht="13" outlineLevel="3" x14ac:dyDescent="0.3">
      <c r="A41" s="177" t="s">
        <v>93</v>
      </c>
      <c r="B41" s="176">
        <f>SUM(B$42:B$42)</f>
        <v>3.4605431809999997E-2</v>
      </c>
      <c r="C41" s="176">
        <f>SUM(C$42:C$42)</f>
        <v>3.4783157779999997E-2</v>
      </c>
      <c r="D41" s="176">
        <f>SUM(D$42:D$42)</f>
        <v>3.5043063729999997E-2</v>
      </c>
      <c r="E41" s="11"/>
      <c r="F41" s="11"/>
      <c r="G41" s="11"/>
    </row>
    <row r="42" spans="1:7" ht="13" outlineLevel="4" x14ac:dyDescent="0.3">
      <c r="A42" s="175" t="s">
        <v>94</v>
      </c>
      <c r="B42" s="176">
        <v>3.4605431809999997E-2</v>
      </c>
      <c r="C42" s="176">
        <v>3.4783157779999997E-2</v>
      </c>
      <c r="D42" s="176">
        <v>3.5043063729999997E-2</v>
      </c>
      <c r="E42" s="11"/>
      <c r="F42" s="11"/>
      <c r="G42" s="11"/>
    </row>
    <row r="43" spans="1:7" ht="14.5" outlineLevel="2" x14ac:dyDescent="0.35">
      <c r="A43" s="178" t="s">
        <v>2</v>
      </c>
      <c r="B43" s="179">
        <f>B$44+B$48+B$56</f>
        <v>1.6498361975499998</v>
      </c>
      <c r="C43" s="179">
        <f>C$44+C$48+C$56</f>
        <v>1.7111333445899999</v>
      </c>
      <c r="D43" s="179">
        <f>D$44+D$48+D$56</f>
        <v>1.76290484535</v>
      </c>
      <c r="E43" s="11"/>
      <c r="F43" s="11"/>
      <c r="G43" s="11"/>
    </row>
    <row r="44" spans="1:7" ht="13" outlineLevel="3" x14ac:dyDescent="0.3">
      <c r="A44" s="177" t="s">
        <v>58</v>
      </c>
      <c r="B44" s="176">
        <f>SUM(B$45:B$47)</f>
        <v>0.10644904969000001</v>
      </c>
      <c r="C44" s="176">
        <f>SUM(C$45:C$47)</f>
        <v>0.10699574887</v>
      </c>
      <c r="D44" s="176">
        <f>SUM(D$45:D$47)</f>
        <v>0.10779524016</v>
      </c>
      <c r="E44" s="11"/>
      <c r="F44" s="11"/>
      <c r="G44" s="11"/>
    </row>
    <row r="45" spans="1:7" ht="13" outlineLevel="4" x14ac:dyDescent="0.3">
      <c r="A45" s="175" t="s">
        <v>138</v>
      </c>
      <c r="B45" s="176">
        <v>2.7593000000000001E-7</v>
      </c>
      <c r="C45" s="176">
        <v>2.7734999999999998E-7</v>
      </c>
      <c r="D45" s="176">
        <v>2.7942E-7</v>
      </c>
      <c r="E45" s="11"/>
      <c r="F45" s="11"/>
      <c r="G45" s="11"/>
    </row>
    <row r="46" spans="1:7" ht="13" outlineLevel="4" x14ac:dyDescent="0.3">
      <c r="A46" s="175" t="s">
        <v>139</v>
      </c>
      <c r="B46" s="176">
        <v>5.8873902810000003E-2</v>
      </c>
      <c r="C46" s="176">
        <v>5.9176266370000001E-2</v>
      </c>
      <c r="D46" s="176">
        <v>5.9618441979999999E-2</v>
      </c>
      <c r="E46" s="11"/>
      <c r="F46" s="11"/>
      <c r="G46" s="11"/>
    </row>
    <row r="47" spans="1:7" ht="13" outlineLevel="4" x14ac:dyDescent="0.3">
      <c r="A47" s="175" t="s">
        <v>144</v>
      </c>
      <c r="B47" s="176">
        <v>4.7574870950000001E-2</v>
      </c>
      <c r="C47" s="176">
        <v>4.7819205150000002E-2</v>
      </c>
      <c r="D47" s="176">
        <v>4.8176518760000002E-2</v>
      </c>
      <c r="E47" s="11"/>
      <c r="F47" s="11"/>
      <c r="G47" s="11"/>
    </row>
    <row r="48" spans="1:7" ht="13" outlineLevel="3" x14ac:dyDescent="0.3">
      <c r="A48" s="177" t="s">
        <v>93</v>
      </c>
      <c r="B48" s="176">
        <f>SUM(B$49:B$55)</f>
        <v>1.5433644391799999</v>
      </c>
      <c r="C48" s="176">
        <f>SUM(C$49:C$55)</f>
        <v>1.6041147704199998</v>
      </c>
      <c r="D48" s="176">
        <f>SUM(D$49:D$55)</f>
        <v>1.6550866093300001</v>
      </c>
      <c r="E48" s="11"/>
      <c r="F48" s="11"/>
      <c r="G48" s="11"/>
    </row>
    <row r="49" spans="1:7" ht="13" outlineLevel="4" x14ac:dyDescent="0.3">
      <c r="A49" s="175" t="s">
        <v>145</v>
      </c>
      <c r="B49" s="176">
        <v>6.2834343449999996E-2</v>
      </c>
      <c r="C49" s="176">
        <v>7.5596850660000006E-2</v>
      </c>
      <c r="D49" s="176">
        <v>7.8600606500000003E-2</v>
      </c>
      <c r="E49" s="11"/>
      <c r="F49" s="11"/>
      <c r="G49" s="11"/>
    </row>
    <row r="50" spans="1:7" ht="13" outlineLevel="4" x14ac:dyDescent="0.3">
      <c r="A50" s="175" t="s">
        <v>146</v>
      </c>
      <c r="B50" s="176">
        <v>7.2222222400000003E-3</v>
      </c>
      <c r="C50" s="176">
        <v>6.8611111299999999E-3</v>
      </c>
      <c r="D50" s="176">
        <v>6.5000000199999996E-3</v>
      </c>
      <c r="E50" s="11"/>
      <c r="F50" s="11"/>
      <c r="G50" s="11"/>
    </row>
    <row r="51" spans="1:7" ht="13" outlineLevel="4" x14ac:dyDescent="0.3">
      <c r="A51" s="175" t="s">
        <v>147</v>
      </c>
      <c r="B51" s="176">
        <v>0.35657922199999997</v>
      </c>
      <c r="C51" s="176">
        <v>0.36321425736000001</v>
      </c>
      <c r="D51" s="176">
        <v>0.40726282439</v>
      </c>
      <c r="E51" s="11"/>
      <c r="F51" s="11"/>
      <c r="G51" s="11"/>
    </row>
    <row r="52" spans="1:7" ht="13" outlineLevel="4" x14ac:dyDescent="0.3">
      <c r="A52" s="175" t="s">
        <v>148</v>
      </c>
      <c r="B52" s="176">
        <v>0.31541573540000001</v>
      </c>
      <c r="C52" s="176">
        <v>0.34784984045</v>
      </c>
      <c r="D52" s="176">
        <v>0.35514685483000002</v>
      </c>
      <c r="E52" s="11"/>
      <c r="F52" s="11"/>
      <c r="G52" s="11"/>
    </row>
    <row r="53" spans="1:7" ht="13" outlineLevel="4" x14ac:dyDescent="0.3">
      <c r="A53" s="175" t="s">
        <v>149</v>
      </c>
      <c r="B53" s="176">
        <v>5.5555555199999999E-3</v>
      </c>
      <c r="C53" s="176">
        <v>1.2684330840000001E-2</v>
      </c>
      <c r="D53" s="176">
        <v>1.489839456E-2</v>
      </c>
      <c r="E53" s="11"/>
      <c r="F53" s="11"/>
      <c r="G53" s="11"/>
    </row>
    <row r="54" spans="1:7" ht="13" outlineLevel="4" x14ac:dyDescent="0.3">
      <c r="A54" s="175" t="s">
        <v>150</v>
      </c>
      <c r="B54" s="176">
        <v>7.77777776E-3</v>
      </c>
      <c r="C54" s="176">
        <v>7.3888888699999997E-3</v>
      </c>
      <c r="D54" s="176">
        <v>6.9999999800000002E-3</v>
      </c>
      <c r="E54" s="11"/>
      <c r="F54" s="11"/>
      <c r="G54" s="11"/>
    </row>
    <row r="55" spans="1:7" ht="13" outlineLevel="4" x14ac:dyDescent="0.3">
      <c r="A55" s="175" t="s">
        <v>153</v>
      </c>
      <c r="B55" s="176">
        <v>0.78797958281000002</v>
      </c>
      <c r="C55" s="176">
        <v>0.79051949110999997</v>
      </c>
      <c r="D55" s="176">
        <v>0.78567792905</v>
      </c>
      <c r="E55" s="11"/>
      <c r="F55" s="11"/>
      <c r="G55" s="11"/>
    </row>
    <row r="56" spans="1:7" ht="13" outlineLevel="3" x14ac:dyDescent="0.3">
      <c r="A56" s="177" t="s">
        <v>154</v>
      </c>
      <c r="B56" s="176">
        <f>SUM(B$57:B$57)</f>
        <v>2.270868E-5</v>
      </c>
      <c r="C56" s="176">
        <f>SUM(C$57:C$57)</f>
        <v>2.28253E-5</v>
      </c>
      <c r="D56" s="176">
        <f>SUM(D$57:D$57)</f>
        <v>2.2995859999999998E-5</v>
      </c>
      <c r="E56" s="11"/>
      <c r="F56" s="11"/>
      <c r="G56" s="11"/>
    </row>
    <row r="57" spans="1:7" ht="13" outlineLevel="4" x14ac:dyDescent="0.3">
      <c r="A57" s="175" t="s">
        <v>155</v>
      </c>
      <c r="B57" s="176">
        <v>2.270868E-5</v>
      </c>
      <c r="C57" s="176">
        <v>2.28253E-5</v>
      </c>
      <c r="D57" s="176">
        <v>2.2995859999999998E-5</v>
      </c>
      <c r="E57" s="11"/>
      <c r="F57" s="11"/>
      <c r="G57" s="11"/>
    </row>
    <row r="58" spans="1:7" ht="14.5" outlineLevel="1" x14ac:dyDescent="0.35">
      <c r="A58" s="180" t="s">
        <v>95</v>
      </c>
      <c r="B58" s="181">
        <f>B$59+B$96</f>
        <v>120.09028008226001</v>
      </c>
      <c r="C58" s="181">
        <f>C$59+C$96</f>
        <v>122.92766688137</v>
      </c>
      <c r="D58" s="181">
        <f>D$59+D$96</f>
        <v>123.01229285724</v>
      </c>
      <c r="E58" s="11"/>
      <c r="F58" s="11"/>
      <c r="G58" s="11"/>
    </row>
    <row r="59" spans="1:7" ht="14.5" outlineLevel="2" x14ac:dyDescent="0.35">
      <c r="A59" s="178" t="s">
        <v>1</v>
      </c>
      <c r="B59" s="179">
        <f>B$60+B$70+B$81+B$83+B$90+B$92+B$94</f>
        <v>114.87717688268</v>
      </c>
      <c r="C59" s="179">
        <f>C$60+C$70+C$81+C$83+C$90+C$92+C$94</f>
        <v>117.72615793149001</v>
      </c>
      <c r="D59" s="179">
        <f>D$60+D$70+D$81+D$83+D$90+D$92+D$94</f>
        <v>118.04561254281001</v>
      </c>
      <c r="E59" s="11"/>
      <c r="F59" s="11"/>
      <c r="G59" s="11"/>
    </row>
    <row r="60" spans="1:7" ht="13" outlineLevel="3" x14ac:dyDescent="0.3">
      <c r="A60" s="177" t="s">
        <v>96</v>
      </c>
      <c r="B60" s="176">
        <f>SUM(B$61:B$69)</f>
        <v>82.827489272820003</v>
      </c>
      <c r="C60" s="176">
        <f>SUM(C$61:C$69)</f>
        <v>85.682436081909998</v>
      </c>
      <c r="D60" s="176">
        <f>SUM(D$61:D$69)</f>
        <v>85.946924079140004</v>
      </c>
      <c r="E60" s="11"/>
      <c r="F60" s="11"/>
      <c r="G60" s="11"/>
    </row>
    <row r="61" spans="1:7" ht="13" outlineLevel="4" x14ac:dyDescent="0.3">
      <c r="A61" s="175" t="s">
        <v>97</v>
      </c>
      <c r="B61" s="176">
        <v>1.146224364E-2</v>
      </c>
      <c r="C61" s="176">
        <v>1.141176629E-2</v>
      </c>
      <c r="D61" s="176">
        <v>1.1492941309999999E-2</v>
      </c>
      <c r="E61" s="11"/>
      <c r="F61" s="11"/>
      <c r="G61" s="11"/>
    </row>
    <row r="62" spans="1:7" ht="13" outlineLevel="4" x14ac:dyDescent="0.3">
      <c r="A62" s="175" t="s">
        <v>98</v>
      </c>
      <c r="B62" s="176">
        <v>0.12100019522</v>
      </c>
      <c r="C62" s="176">
        <v>0.12264145765999999</v>
      </c>
      <c r="D62" s="176">
        <v>0.12351383991999999</v>
      </c>
      <c r="E62" s="11"/>
      <c r="F62" s="11"/>
      <c r="G62" s="11"/>
    </row>
    <row r="63" spans="1:7" ht="13" outlineLevel="4" x14ac:dyDescent="0.3">
      <c r="A63" s="175" t="s">
        <v>99</v>
      </c>
      <c r="B63" s="176">
        <v>0.10114868791000001</v>
      </c>
      <c r="C63" s="176">
        <v>0.10236772948</v>
      </c>
      <c r="D63" s="176">
        <v>0.10309589916</v>
      </c>
      <c r="E63" s="11"/>
      <c r="F63" s="11"/>
      <c r="G63" s="11"/>
    </row>
    <row r="64" spans="1:7" ht="13" outlineLevel="4" x14ac:dyDescent="0.3">
      <c r="A64" s="175" t="s">
        <v>100</v>
      </c>
      <c r="B64" s="176">
        <v>2.9522925032999998</v>
      </c>
      <c r="C64" s="176">
        <v>2.9392912192699998</v>
      </c>
      <c r="D64" s="176">
        <v>2.9481677742899999</v>
      </c>
      <c r="E64" s="11"/>
      <c r="F64" s="11"/>
      <c r="G64" s="11"/>
    </row>
    <row r="65" spans="1:7" ht="13" outlineLevel="4" x14ac:dyDescent="0.3">
      <c r="A65" s="175" t="s">
        <v>101</v>
      </c>
      <c r="B65" s="176">
        <v>44.012826736089998</v>
      </c>
      <c r="C65" s="176">
        <v>46.939902278479998</v>
      </c>
      <c r="D65" s="176">
        <v>47.273798653260002</v>
      </c>
      <c r="E65" s="11"/>
      <c r="F65" s="11"/>
      <c r="G65" s="11"/>
    </row>
    <row r="66" spans="1:7" ht="13" outlineLevel="4" x14ac:dyDescent="0.3">
      <c r="A66" s="175" t="s">
        <v>102</v>
      </c>
      <c r="B66" s="176">
        <v>5.7900951672299996</v>
      </c>
      <c r="C66" s="176">
        <v>5.7857432505200004</v>
      </c>
      <c r="D66" s="176">
        <v>5.7927417747199996</v>
      </c>
      <c r="E66" s="11"/>
      <c r="F66" s="11"/>
      <c r="G66" s="11"/>
    </row>
    <row r="67" spans="1:7" ht="13" outlineLevel="4" x14ac:dyDescent="0.3">
      <c r="A67" s="175" t="s">
        <v>103</v>
      </c>
      <c r="B67" s="176">
        <v>16.17518239755</v>
      </c>
      <c r="C67" s="176">
        <v>16.12363642791</v>
      </c>
      <c r="D67" s="176">
        <v>16.06466800155</v>
      </c>
      <c r="E67" s="11"/>
      <c r="F67" s="11"/>
      <c r="G67" s="11"/>
    </row>
    <row r="68" spans="1:7" ht="13" outlineLevel="4" x14ac:dyDescent="0.3">
      <c r="A68" s="175" t="s">
        <v>104</v>
      </c>
      <c r="B68" s="176">
        <v>13.54928616023</v>
      </c>
      <c r="C68" s="176">
        <v>13.546070791269999</v>
      </c>
      <c r="D68" s="176">
        <v>13.518056602030001</v>
      </c>
      <c r="E68" s="11"/>
      <c r="F68" s="11"/>
      <c r="G68" s="11"/>
    </row>
    <row r="69" spans="1:7" ht="13" outlineLevel="4" x14ac:dyDescent="0.3">
      <c r="A69" s="175" t="s">
        <v>105</v>
      </c>
      <c r="B69" s="176">
        <v>0.11419518165</v>
      </c>
      <c r="C69" s="176">
        <v>0.11137116103</v>
      </c>
      <c r="D69" s="176">
        <v>0.1113885929</v>
      </c>
      <c r="E69" s="11"/>
      <c r="F69" s="11"/>
      <c r="G69" s="11"/>
    </row>
    <row r="70" spans="1:7" ht="13" outlineLevel="3" x14ac:dyDescent="0.3">
      <c r="A70" s="177" t="s">
        <v>106</v>
      </c>
      <c r="B70" s="176">
        <f>SUM(B$71:B$80)</f>
        <v>7.6299116025599991</v>
      </c>
      <c r="C70" s="176">
        <f>SUM(C$71:C$80)</f>
        <v>7.6327936194299983</v>
      </c>
      <c r="D70" s="176">
        <f>SUM(D$71:D$80)</f>
        <v>7.6909776344599985</v>
      </c>
      <c r="E70" s="11"/>
      <c r="F70" s="11"/>
      <c r="G70" s="11"/>
    </row>
    <row r="71" spans="1:7" ht="13" outlineLevel="4" x14ac:dyDescent="0.3">
      <c r="A71" s="175" t="s">
        <v>107</v>
      </c>
      <c r="B71" s="176">
        <v>2.3872949189999999E-2</v>
      </c>
      <c r="C71" s="176">
        <v>2.3573482779999998E-2</v>
      </c>
      <c r="D71" s="176">
        <v>2.401513777E-2</v>
      </c>
      <c r="E71" s="11"/>
      <c r="F71" s="11"/>
      <c r="G71" s="11"/>
    </row>
    <row r="72" spans="1:7" ht="13" outlineLevel="4" x14ac:dyDescent="0.3">
      <c r="A72" s="175" t="s">
        <v>108</v>
      </c>
      <c r="B72" s="176">
        <v>0.20898023264000001</v>
      </c>
      <c r="C72" s="176">
        <v>0.20805992703000001</v>
      </c>
      <c r="D72" s="176">
        <v>0.20953991424999999</v>
      </c>
      <c r="E72" s="11"/>
      <c r="F72" s="11"/>
      <c r="G72" s="11"/>
    </row>
    <row r="73" spans="1:7" ht="13" outlineLevel="4" x14ac:dyDescent="0.3">
      <c r="A73" s="175" t="s">
        <v>109</v>
      </c>
      <c r="B73" s="176">
        <v>5.0846934205799998</v>
      </c>
      <c r="C73" s="176">
        <v>5.0762376290800004</v>
      </c>
      <c r="D73" s="176">
        <v>5.0945019915599996</v>
      </c>
      <c r="E73" s="11"/>
      <c r="F73" s="11"/>
      <c r="G73" s="11"/>
    </row>
    <row r="74" spans="1:7" ht="13" outlineLevel="4" x14ac:dyDescent="0.3">
      <c r="A74" s="175" t="s">
        <v>110</v>
      </c>
      <c r="B74" s="176">
        <v>0.20898023264000001</v>
      </c>
      <c r="C74" s="176">
        <v>0.20805992703000001</v>
      </c>
      <c r="D74" s="176">
        <v>0.20953991424999999</v>
      </c>
      <c r="E74" s="11"/>
      <c r="F74" s="11"/>
      <c r="G74" s="11"/>
    </row>
    <row r="75" spans="1:7" ht="13" outlineLevel="4" x14ac:dyDescent="0.3">
      <c r="A75" s="175" t="s">
        <v>111</v>
      </c>
      <c r="B75" s="176">
        <v>0.58744407237999996</v>
      </c>
      <c r="C75" s="176">
        <v>0.58485709050000001</v>
      </c>
      <c r="D75" s="176">
        <v>0.59096369179999997</v>
      </c>
      <c r="E75" s="11"/>
      <c r="F75" s="11"/>
      <c r="G75" s="11"/>
    </row>
    <row r="76" spans="1:7" ht="13" outlineLevel="4" x14ac:dyDescent="0.3">
      <c r="A76" s="175" t="s">
        <v>112</v>
      </c>
      <c r="B76" s="176">
        <v>0.10378189140999999</v>
      </c>
      <c r="C76" s="176">
        <v>0.10332485748</v>
      </c>
      <c r="D76" s="176">
        <v>0.10405983548</v>
      </c>
      <c r="E76" s="11"/>
      <c r="F76" s="11"/>
      <c r="G76" s="11"/>
    </row>
    <row r="77" spans="1:7" ht="13" outlineLevel="4" x14ac:dyDescent="0.3">
      <c r="A77" s="175" t="s">
        <v>113</v>
      </c>
      <c r="B77" s="176">
        <v>0.1</v>
      </c>
      <c r="C77" s="176">
        <v>0.1</v>
      </c>
      <c r="D77" s="176">
        <v>0.1</v>
      </c>
      <c r="E77" s="11"/>
      <c r="F77" s="11"/>
      <c r="G77" s="11"/>
    </row>
    <row r="78" spans="1:7" ht="13" outlineLevel="4" x14ac:dyDescent="0.3">
      <c r="A78" s="175" t="s">
        <v>114</v>
      </c>
      <c r="B78" s="176">
        <v>5.1251526E-4</v>
      </c>
      <c r="C78" s="176">
        <v>5.1251526E-4</v>
      </c>
      <c r="D78" s="176">
        <v>5.1251526E-4</v>
      </c>
      <c r="E78" s="11"/>
      <c r="F78" s="11"/>
      <c r="G78" s="11"/>
    </row>
    <row r="79" spans="1:7" ht="13" outlineLevel="4" x14ac:dyDescent="0.3">
      <c r="A79" s="175" t="s">
        <v>115</v>
      </c>
      <c r="B79" s="176">
        <v>0.46506189307000001</v>
      </c>
      <c r="C79" s="176">
        <v>0.46301385692000002</v>
      </c>
      <c r="D79" s="176">
        <v>0.46630740122999997</v>
      </c>
      <c r="E79" s="11"/>
      <c r="F79" s="11"/>
      <c r="G79" s="11"/>
    </row>
    <row r="80" spans="1:7" ht="13" outlineLevel="4" x14ac:dyDescent="0.3">
      <c r="A80" s="175" t="s">
        <v>116</v>
      </c>
      <c r="B80" s="176">
        <v>0.84658439538999997</v>
      </c>
      <c r="C80" s="176">
        <v>0.86515433335000003</v>
      </c>
      <c r="D80" s="176">
        <v>0.89153723285999997</v>
      </c>
      <c r="E80" s="11"/>
      <c r="F80" s="11"/>
      <c r="G80" s="11"/>
    </row>
    <row r="81" spans="1:7" ht="13" outlineLevel="3" x14ac:dyDescent="0.3">
      <c r="A81" s="177" t="s">
        <v>117</v>
      </c>
      <c r="B81" s="176">
        <f>SUM(B$82:B$82)</f>
        <v>0.60585586000000002</v>
      </c>
      <c r="C81" s="176">
        <f>SUM(C$82:C$82)</f>
        <v>0.60585586000000002</v>
      </c>
      <c r="D81" s="176">
        <f>SUM(D$82:D$82)</f>
        <v>0.60585586000000002</v>
      </c>
      <c r="E81" s="11"/>
      <c r="F81" s="11"/>
      <c r="G81" s="11"/>
    </row>
    <row r="82" spans="1:7" ht="13" outlineLevel="4" x14ac:dyDescent="0.3">
      <c r="A82" s="175" t="s">
        <v>118</v>
      </c>
      <c r="B82" s="176">
        <v>0.60585586000000002</v>
      </c>
      <c r="C82" s="176">
        <v>0.60585586000000002</v>
      </c>
      <c r="D82" s="176">
        <v>0.60585586000000002</v>
      </c>
      <c r="E82" s="11"/>
      <c r="F82" s="11"/>
      <c r="G82" s="11"/>
    </row>
    <row r="83" spans="1:7" ht="13" outlineLevel="3" x14ac:dyDescent="0.3">
      <c r="A83" s="177" t="s">
        <v>119</v>
      </c>
      <c r="B83" s="176">
        <f>SUM(B$84:B$89)</f>
        <v>1.4786194744199999</v>
      </c>
      <c r="C83" s="176">
        <f>SUM(C$84:C$89)</f>
        <v>1.4707484937299999</v>
      </c>
      <c r="D83" s="176">
        <f>SUM(D$84:D$89)</f>
        <v>1.45118764899</v>
      </c>
      <c r="E83" s="11"/>
      <c r="F83" s="11"/>
      <c r="G83" s="11"/>
    </row>
    <row r="84" spans="1:7" ht="13" outlineLevel="4" x14ac:dyDescent="0.3">
      <c r="A84" s="175" t="s">
        <v>120</v>
      </c>
      <c r="B84" s="176">
        <v>0.67918575608999998</v>
      </c>
      <c r="C84" s="176">
        <v>0.67619476282000002</v>
      </c>
      <c r="D84" s="176">
        <v>0.68100472127</v>
      </c>
      <c r="E84" s="11"/>
      <c r="F84" s="11"/>
      <c r="G84" s="11"/>
    </row>
    <row r="85" spans="1:7" ht="13" outlineLevel="4" x14ac:dyDescent="0.3">
      <c r="A85" s="175" t="s">
        <v>121</v>
      </c>
      <c r="B85" s="176">
        <v>5.3424960000000002E-5</v>
      </c>
      <c r="C85" s="176">
        <v>5.3189690000000003E-5</v>
      </c>
      <c r="D85" s="176">
        <v>5.3568040000000002E-5</v>
      </c>
      <c r="E85" s="11"/>
      <c r="F85" s="11"/>
      <c r="G85" s="11"/>
    </row>
    <row r="86" spans="1:7" ht="13" outlineLevel="4" x14ac:dyDescent="0.3">
      <c r="A86" s="175" t="s">
        <v>122</v>
      </c>
      <c r="B86" s="176">
        <v>6.7086455600000004E-3</v>
      </c>
      <c r="C86" s="176">
        <v>6.6791020799999998E-3</v>
      </c>
      <c r="D86" s="176">
        <v>6.7266123600000002E-3</v>
      </c>
      <c r="E86" s="11"/>
      <c r="F86" s="11"/>
      <c r="G86" s="11"/>
    </row>
    <row r="87" spans="1:7" ht="13" outlineLevel="4" x14ac:dyDescent="0.3">
      <c r="A87" s="175" t="s">
        <v>123</v>
      </c>
      <c r="B87" s="176">
        <v>0.19288559186000001</v>
      </c>
      <c r="C87" s="176">
        <v>0.19203616371000001</v>
      </c>
      <c r="D87" s="176">
        <v>0.18669896827999999</v>
      </c>
      <c r="E87" s="11"/>
      <c r="F87" s="11"/>
      <c r="G87" s="11"/>
    </row>
    <row r="88" spans="1:7" ht="13" outlineLevel="4" x14ac:dyDescent="0.3">
      <c r="A88" s="175" t="s">
        <v>124</v>
      </c>
      <c r="B88" s="176">
        <v>0.43278562789000002</v>
      </c>
      <c r="C88" s="176">
        <v>0.43087972970999999</v>
      </c>
      <c r="D88" s="176">
        <v>0.40870868744</v>
      </c>
      <c r="E88" s="11"/>
      <c r="F88" s="11"/>
      <c r="G88" s="11"/>
    </row>
    <row r="89" spans="1:7" ht="13" outlineLevel="4" x14ac:dyDescent="0.3">
      <c r="A89" s="175" t="s">
        <v>125</v>
      </c>
      <c r="B89" s="176">
        <v>0.16700042806000001</v>
      </c>
      <c r="C89" s="176">
        <v>0.16490554571999999</v>
      </c>
      <c r="D89" s="176">
        <v>0.16799509160000001</v>
      </c>
      <c r="E89" s="11"/>
      <c r="F89" s="11"/>
      <c r="G89" s="11"/>
    </row>
    <row r="90" spans="1:7" ht="13" outlineLevel="3" x14ac:dyDescent="0.3">
      <c r="A90" s="177" t="s">
        <v>126</v>
      </c>
      <c r="B90" s="176">
        <f>SUM(B$91:B$91)</f>
        <v>15.219165084</v>
      </c>
      <c r="C90" s="176">
        <f>SUM(C$91:C$91)</f>
        <v>15.219165084</v>
      </c>
      <c r="D90" s="176">
        <f>SUM(D$91:D$91)</f>
        <v>15.219165084</v>
      </c>
      <c r="E90" s="11"/>
      <c r="F90" s="11"/>
      <c r="G90" s="11"/>
    </row>
    <row r="91" spans="1:7" ht="13" outlineLevel="4" x14ac:dyDescent="0.3">
      <c r="A91" s="175" t="s">
        <v>134</v>
      </c>
      <c r="B91" s="176">
        <v>15.219165084</v>
      </c>
      <c r="C91" s="176">
        <v>15.219165084</v>
      </c>
      <c r="D91" s="176">
        <v>15.219165084</v>
      </c>
      <c r="E91" s="11"/>
      <c r="F91" s="11"/>
      <c r="G91" s="11"/>
    </row>
    <row r="92" spans="1:7" ht="13" outlineLevel="3" x14ac:dyDescent="0.3">
      <c r="A92" s="177" t="s">
        <v>135</v>
      </c>
      <c r="B92" s="176">
        <f>SUM(B$93:B$93)</f>
        <v>3</v>
      </c>
      <c r="C92" s="176">
        <f>SUM(C$93:C$93)</f>
        <v>3</v>
      </c>
      <c r="D92" s="176">
        <f>SUM(D$93:D$93)</f>
        <v>3</v>
      </c>
      <c r="E92" s="11"/>
      <c r="F92" s="11"/>
      <c r="G92" s="11"/>
    </row>
    <row r="93" spans="1:7" ht="13" outlineLevel="4" x14ac:dyDescent="0.3">
      <c r="A93" s="175" t="s">
        <v>136</v>
      </c>
      <c r="B93" s="176">
        <v>3</v>
      </c>
      <c r="C93" s="176">
        <v>3</v>
      </c>
      <c r="D93" s="176">
        <v>3</v>
      </c>
      <c r="E93" s="11"/>
      <c r="F93" s="11"/>
      <c r="G93" s="11"/>
    </row>
    <row r="94" spans="1:7" ht="13" outlineLevel="3" x14ac:dyDescent="0.3">
      <c r="A94" s="177" t="s">
        <v>137</v>
      </c>
      <c r="B94" s="176">
        <f>SUM(B$95:B$95)</f>
        <v>4.1161355888799998</v>
      </c>
      <c r="C94" s="176">
        <f>SUM(C$95:C$95)</f>
        <v>4.1151587924199999</v>
      </c>
      <c r="D94" s="176">
        <f>SUM(D$95:D$95)</f>
        <v>4.1315022362200002</v>
      </c>
      <c r="E94" s="11"/>
      <c r="F94" s="11"/>
      <c r="G94" s="11"/>
    </row>
    <row r="95" spans="1:7" ht="13" outlineLevel="4" x14ac:dyDescent="0.3">
      <c r="A95" s="175" t="s">
        <v>104</v>
      </c>
      <c r="B95" s="176">
        <v>4.1161355888799998</v>
      </c>
      <c r="C95" s="176">
        <v>4.1151587924199999</v>
      </c>
      <c r="D95" s="176">
        <v>4.1315022362200002</v>
      </c>
      <c r="E95" s="11"/>
      <c r="F95" s="11"/>
      <c r="G95" s="11"/>
    </row>
    <row r="96" spans="1:7" ht="14.5" outlineLevel="2" x14ac:dyDescent="0.35">
      <c r="A96" s="178" t="s">
        <v>2</v>
      </c>
      <c r="B96" s="179">
        <f>B$97+B$104+B$107+B$109+B$111</f>
        <v>5.2131031995800008</v>
      </c>
      <c r="C96" s="179">
        <f>C$97+C$104+C$107+C$109+C$111</f>
        <v>5.20150894988</v>
      </c>
      <c r="D96" s="179">
        <f>D$97+D$104+D$107+D$109+D$111</f>
        <v>4.9666803144300005</v>
      </c>
      <c r="E96" s="11"/>
      <c r="F96" s="11"/>
      <c r="G96" s="11"/>
    </row>
    <row r="97" spans="1:7" ht="13" outlineLevel="3" x14ac:dyDescent="0.3">
      <c r="A97" s="177" t="s">
        <v>96</v>
      </c>
      <c r="B97" s="176">
        <f>SUM(B$98:B$103)</f>
        <v>3.2418873771000003</v>
      </c>
      <c r="C97" s="176">
        <f>SUM(C$98:C$103)</f>
        <v>3.2341427346299998</v>
      </c>
      <c r="D97" s="176">
        <f>SUM(D$98:D$103)</f>
        <v>2.9986601518000002</v>
      </c>
      <c r="E97" s="11"/>
      <c r="F97" s="11"/>
      <c r="G97" s="11"/>
    </row>
    <row r="98" spans="1:7" ht="13" outlineLevel="4" x14ac:dyDescent="0.3">
      <c r="A98" s="175" t="s">
        <v>156</v>
      </c>
      <c r="B98" s="176">
        <v>0.31347034895999998</v>
      </c>
      <c r="C98" s="176">
        <v>0.31208989054000003</v>
      </c>
      <c r="D98" s="176">
        <v>0.31430987136999999</v>
      </c>
      <c r="E98" s="11"/>
      <c r="F98" s="11"/>
      <c r="G98" s="11"/>
    </row>
    <row r="99" spans="1:7" ht="13" outlineLevel="4" x14ac:dyDescent="0.3">
      <c r="A99" s="175" t="s">
        <v>99</v>
      </c>
      <c r="B99" s="176">
        <v>1.0781519687600001</v>
      </c>
      <c r="C99" s="176">
        <v>1.07433851991</v>
      </c>
      <c r="D99" s="176">
        <v>0.95968797809999995</v>
      </c>
      <c r="E99" s="11"/>
      <c r="F99" s="11"/>
      <c r="G99" s="11"/>
    </row>
    <row r="100" spans="1:7" ht="13" outlineLevel="4" x14ac:dyDescent="0.3">
      <c r="A100" s="175" t="s">
        <v>100</v>
      </c>
      <c r="B100" s="176">
        <v>0.19232794526999999</v>
      </c>
      <c r="C100" s="176">
        <v>0.19004878142000001</v>
      </c>
      <c r="D100" s="176">
        <v>0.19140065043000001</v>
      </c>
      <c r="E100" s="11"/>
      <c r="F100" s="11"/>
      <c r="G100" s="11"/>
    </row>
    <row r="101" spans="1:7" ht="13" outlineLevel="4" x14ac:dyDescent="0.3">
      <c r="A101" s="175" t="s">
        <v>103</v>
      </c>
      <c r="B101" s="176">
        <v>0.51326692550999997</v>
      </c>
      <c r="C101" s="176">
        <v>0.51326692550999997</v>
      </c>
      <c r="D101" s="176">
        <v>0.51326692550999997</v>
      </c>
      <c r="E101" s="11"/>
      <c r="F101" s="11"/>
      <c r="G101" s="11"/>
    </row>
    <row r="102" spans="1:7" ht="13" outlineLevel="4" x14ac:dyDescent="0.3">
      <c r="A102" s="175" t="s">
        <v>104</v>
      </c>
      <c r="B102" s="176">
        <v>1.1443781555999999</v>
      </c>
      <c r="C102" s="176">
        <v>1.14410658425</v>
      </c>
      <c r="D102" s="176">
        <v>1.01970269339</v>
      </c>
      <c r="E102" s="11"/>
      <c r="F102" s="11"/>
      <c r="G102" s="11"/>
    </row>
    <row r="103" spans="1:7" ht="13" outlineLevel="4" x14ac:dyDescent="0.3">
      <c r="A103" s="175" t="s">
        <v>105</v>
      </c>
      <c r="B103" s="176">
        <v>2.9203299999999997E-4</v>
      </c>
      <c r="C103" s="176">
        <v>2.9203299999999997E-4</v>
      </c>
      <c r="D103" s="176">
        <v>2.9203299999999997E-4</v>
      </c>
      <c r="E103" s="11"/>
      <c r="F103" s="11"/>
      <c r="G103" s="11"/>
    </row>
    <row r="104" spans="1:7" ht="13" outlineLevel="3" x14ac:dyDescent="0.3">
      <c r="A104" s="177" t="s">
        <v>157</v>
      </c>
      <c r="B104" s="176">
        <f>SUM(B$105:B$106)</f>
        <v>0.85779034641999996</v>
      </c>
      <c r="C104" s="176">
        <f>SUM(C$105:C$106)</f>
        <v>0.85764594453999998</v>
      </c>
      <c r="D104" s="176">
        <f>SUM(D$105:D$106)</f>
        <v>0.85787816407999995</v>
      </c>
      <c r="E104" s="11"/>
      <c r="F104" s="11"/>
      <c r="G104" s="11"/>
    </row>
    <row r="105" spans="1:7" ht="13" outlineLevel="4" x14ac:dyDescent="0.3">
      <c r="A105" s="175" t="s">
        <v>158</v>
      </c>
      <c r="B105" s="176">
        <v>0.82499999999999996</v>
      </c>
      <c r="C105" s="176">
        <v>0.82499999999999996</v>
      </c>
      <c r="D105" s="176">
        <v>0.82499999999999996</v>
      </c>
      <c r="E105" s="11"/>
      <c r="F105" s="11"/>
      <c r="G105" s="11"/>
    </row>
    <row r="106" spans="1:7" ht="13" outlineLevel="4" x14ac:dyDescent="0.3">
      <c r="A106" s="175" t="s">
        <v>111</v>
      </c>
      <c r="B106" s="176">
        <v>3.2790346419999998E-2</v>
      </c>
      <c r="C106" s="176">
        <v>3.2645944539999999E-2</v>
      </c>
      <c r="D106" s="176">
        <v>3.2878164080000001E-2</v>
      </c>
      <c r="E106" s="11"/>
      <c r="F106" s="11"/>
      <c r="G106" s="11"/>
    </row>
    <row r="107" spans="1:7" ht="13" outlineLevel="3" x14ac:dyDescent="0.3">
      <c r="A107" s="177" t="s">
        <v>119</v>
      </c>
      <c r="B107" s="176">
        <f>SUM(B$108:B$108)</f>
        <v>0.18221230804999999</v>
      </c>
      <c r="C107" s="176">
        <f>SUM(C$108:C$108)</f>
        <v>0.17853230805</v>
      </c>
      <c r="D107" s="176">
        <f>SUM(D$108:D$108)</f>
        <v>0.17853230805</v>
      </c>
      <c r="E107" s="11"/>
      <c r="F107" s="11"/>
      <c r="G107" s="11"/>
    </row>
    <row r="108" spans="1:7" ht="13" outlineLevel="4" x14ac:dyDescent="0.3">
      <c r="A108" s="175" t="s">
        <v>159</v>
      </c>
      <c r="B108" s="176">
        <v>0.18221230804999999</v>
      </c>
      <c r="C108" s="176">
        <v>0.17853230805</v>
      </c>
      <c r="D108" s="176">
        <v>0.17853230805</v>
      </c>
      <c r="E108" s="11"/>
      <c r="F108" s="11"/>
      <c r="G108" s="11"/>
    </row>
    <row r="109" spans="1:7" ht="13" outlineLevel="3" x14ac:dyDescent="0.3">
      <c r="A109" s="177" t="s">
        <v>160</v>
      </c>
      <c r="B109" s="176">
        <f>SUM(B$110:B$110)</f>
        <v>0.82499999999999996</v>
      </c>
      <c r="C109" s="176">
        <f>SUM(C$110:C$110)</f>
        <v>0.82499999999999996</v>
      </c>
      <c r="D109" s="176">
        <f>SUM(D$110:D$110)</f>
        <v>0.82499999999999996</v>
      </c>
      <c r="E109" s="11"/>
      <c r="F109" s="11"/>
      <c r="G109" s="11"/>
    </row>
    <row r="110" spans="1:7" ht="13" outlineLevel="4" x14ac:dyDescent="0.3">
      <c r="A110" s="175" t="s">
        <v>162</v>
      </c>
      <c r="B110" s="176">
        <v>0.82499999999999996</v>
      </c>
      <c r="C110" s="176">
        <v>0.82499999999999996</v>
      </c>
      <c r="D110" s="176">
        <v>0.82499999999999996</v>
      </c>
      <c r="E110" s="11"/>
      <c r="F110" s="11"/>
      <c r="G110" s="11"/>
    </row>
    <row r="111" spans="1:7" ht="13" outlineLevel="3" x14ac:dyDescent="0.3">
      <c r="A111" s="177" t="s">
        <v>137</v>
      </c>
      <c r="B111" s="176">
        <f>SUM(B$112:B$112)</f>
        <v>0.10621316801</v>
      </c>
      <c r="C111" s="176">
        <f>SUM(C$112:C$112)</f>
        <v>0.10618796266</v>
      </c>
      <c r="D111" s="176">
        <f>SUM(D$112:D$112)</f>
        <v>0.10660969050000001</v>
      </c>
      <c r="E111" s="11"/>
      <c r="F111" s="11"/>
      <c r="G111" s="11"/>
    </row>
    <row r="112" spans="1:7" ht="13" outlineLevel="4" x14ac:dyDescent="0.3">
      <c r="A112" s="175" t="s">
        <v>104</v>
      </c>
      <c r="B112" s="176">
        <v>0.10621316801</v>
      </c>
      <c r="C112" s="176">
        <v>0.10618796266</v>
      </c>
      <c r="D112" s="176">
        <v>0.10660969050000001</v>
      </c>
      <c r="E112" s="11"/>
      <c r="F112" s="11"/>
      <c r="G112" s="11"/>
    </row>
    <row r="113" spans="2:7" x14ac:dyDescent="0.25">
      <c r="B113" s="10"/>
      <c r="C113" s="10"/>
      <c r="D113" s="10"/>
      <c r="E113" s="11"/>
      <c r="F113" s="11"/>
      <c r="G113" s="11"/>
    </row>
    <row r="114" spans="2:7" x14ac:dyDescent="0.25">
      <c r="B114" s="10"/>
      <c r="C114" s="10"/>
      <c r="D114" s="10"/>
      <c r="E114" s="11"/>
      <c r="F114" s="11"/>
      <c r="G114" s="11"/>
    </row>
    <row r="115" spans="2:7" x14ac:dyDescent="0.25">
      <c r="B115" s="10"/>
      <c r="C115" s="10"/>
      <c r="D115" s="10"/>
      <c r="E115" s="11"/>
      <c r="F115" s="11"/>
      <c r="G115" s="11"/>
    </row>
    <row r="116" spans="2:7" x14ac:dyDescent="0.25">
      <c r="B116" s="10"/>
      <c r="C116" s="10"/>
      <c r="D116" s="10"/>
      <c r="E116" s="11"/>
      <c r="F116" s="11"/>
      <c r="G116" s="11"/>
    </row>
    <row r="117" spans="2:7" x14ac:dyDescent="0.25">
      <c r="B117" s="10"/>
      <c r="C117" s="10"/>
      <c r="D117" s="10"/>
      <c r="E117" s="11"/>
      <c r="F117" s="11"/>
      <c r="G117" s="11"/>
    </row>
    <row r="118" spans="2:7" x14ac:dyDescent="0.25">
      <c r="B118" s="10"/>
      <c r="C118" s="10"/>
      <c r="D118" s="10"/>
      <c r="E118" s="11"/>
      <c r="F118" s="11"/>
      <c r="G118" s="11"/>
    </row>
    <row r="119" spans="2:7" x14ac:dyDescent="0.25">
      <c r="B119" s="10"/>
      <c r="C119" s="10"/>
      <c r="D119" s="10"/>
      <c r="E119" s="11"/>
      <c r="F119" s="11"/>
      <c r="G119" s="11"/>
    </row>
    <row r="120" spans="2:7" x14ac:dyDescent="0.25">
      <c r="B120" s="10"/>
      <c r="C120" s="10"/>
      <c r="D120" s="10"/>
      <c r="E120" s="11"/>
      <c r="F120" s="11"/>
      <c r="G120" s="11"/>
    </row>
    <row r="121" spans="2:7" x14ac:dyDescent="0.25">
      <c r="B121" s="10"/>
      <c r="C121" s="10"/>
      <c r="D121" s="10"/>
      <c r="E121" s="11"/>
      <c r="F121" s="11"/>
      <c r="G121" s="11"/>
    </row>
    <row r="122" spans="2:7" x14ac:dyDescent="0.25">
      <c r="B122" s="10"/>
      <c r="C122" s="10"/>
      <c r="D122" s="10"/>
      <c r="E122" s="11"/>
      <c r="F122" s="11"/>
      <c r="G122" s="11"/>
    </row>
    <row r="123" spans="2:7" x14ac:dyDescent="0.25">
      <c r="B123" s="10"/>
      <c r="C123" s="10"/>
      <c r="D123" s="10"/>
      <c r="E123" s="11"/>
      <c r="F123" s="11"/>
      <c r="G123" s="11"/>
    </row>
    <row r="124" spans="2:7" x14ac:dyDescent="0.25">
      <c r="B124" s="10"/>
      <c r="C124" s="10"/>
      <c r="D124" s="10"/>
      <c r="E124" s="11"/>
      <c r="F124" s="11"/>
      <c r="G124" s="11"/>
    </row>
    <row r="125" spans="2:7" x14ac:dyDescent="0.25">
      <c r="B125" s="10"/>
      <c r="C125" s="10"/>
      <c r="D125" s="10"/>
      <c r="E125" s="11"/>
      <c r="F125" s="11"/>
      <c r="G125" s="11"/>
    </row>
    <row r="126" spans="2:7" x14ac:dyDescent="0.25">
      <c r="B126" s="10"/>
      <c r="C126" s="10"/>
      <c r="D126" s="10"/>
      <c r="E126" s="11"/>
      <c r="F126" s="11"/>
      <c r="G126" s="11"/>
    </row>
    <row r="127" spans="2:7" x14ac:dyDescent="0.25">
      <c r="B127" s="10"/>
      <c r="C127" s="10"/>
      <c r="D127" s="10"/>
      <c r="E127" s="11"/>
      <c r="F127" s="11"/>
      <c r="G127" s="11"/>
    </row>
    <row r="128" spans="2:7" x14ac:dyDescent="0.25">
      <c r="B128" s="10"/>
      <c r="C128" s="10"/>
      <c r="D128" s="10"/>
      <c r="E128" s="11"/>
      <c r="F128" s="11"/>
      <c r="G128" s="11"/>
    </row>
    <row r="129" spans="2:7" x14ac:dyDescent="0.25">
      <c r="B129" s="10"/>
      <c r="C129" s="10"/>
      <c r="D129" s="10"/>
      <c r="E129" s="11"/>
      <c r="F129" s="11"/>
      <c r="G129" s="11"/>
    </row>
    <row r="130" spans="2:7" x14ac:dyDescent="0.25">
      <c r="B130" s="10"/>
      <c r="C130" s="10"/>
      <c r="D130" s="10"/>
      <c r="E130" s="11"/>
      <c r="F130" s="11"/>
      <c r="G130" s="11"/>
    </row>
    <row r="131" spans="2:7" x14ac:dyDescent="0.25">
      <c r="B131" s="10"/>
      <c r="C131" s="10"/>
      <c r="D131" s="10"/>
      <c r="E131" s="11"/>
      <c r="F131" s="11"/>
      <c r="G131" s="11"/>
    </row>
    <row r="132" spans="2:7" x14ac:dyDescent="0.25">
      <c r="B132" s="10"/>
      <c r="C132" s="10"/>
      <c r="D132" s="10"/>
      <c r="E132" s="11"/>
      <c r="F132" s="11"/>
      <c r="G132" s="11"/>
    </row>
    <row r="133" spans="2:7" x14ac:dyDescent="0.25">
      <c r="B133" s="10"/>
      <c r="C133" s="10"/>
      <c r="D133" s="10"/>
      <c r="E133" s="11"/>
      <c r="F133" s="11"/>
      <c r="G133" s="11"/>
    </row>
    <row r="134" spans="2:7" x14ac:dyDescent="0.25">
      <c r="B134" s="10"/>
      <c r="C134" s="10"/>
      <c r="D134" s="10"/>
      <c r="E134" s="11"/>
      <c r="F134" s="11"/>
      <c r="G134" s="11"/>
    </row>
    <row r="135" spans="2:7" x14ac:dyDescent="0.25">
      <c r="B135" s="10"/>
      <c r="C135" s="10"/>
      <c r="D135" s="10"/>
      <c r="E135" s="11"/>
      <c r="F135" s="11"/>
      <c r="G135" s="11"/>
    </row>
    <row r="136" spans="2:7" x14ac:dyDescent="0.25">
      <c r="B136" s="10"/>
      <c r="C136" s="10"/>
      <c r="D136" s="10"/>
      <c r="E136" s="11"/>
      <c r="F136" s="11"/>
      <c r="G136" s="11"/>
    </row>
    <row r="137" spans="2:7" x14ac:dyDescent="0.25">
      <c r="B137" s="10"/>
      <c r="C137" s="10"/>
      <c r="D137" s="10"/>
      <c r="E137" s="11"/>
      <c r="F137" s="11"/>
      <c r="G137" s="11"/>
    </row>
    <row r="138" spans="2:7" x14ac:dyDescent="0.25">
      <c r="B138" s="10"/>
      <c r="C138" s="10"/>
      <c r="D138" s="10"/>
      <c r="E138" s="11"/>
      <c r="F138" s="11"/>
      <c r="G138" s="11"/>
    </row>
    <row r="139" spans="2:7" x14ac:dyDescent="0.25">
      <c r="B139" s="10"/>
      <c r="C139" s="10"/>
      <c r="D139" s="10"/>
      <c r="E139" s="11"/>
      <c r="F139" s="11"/>
      <c r="G139" s="11"/>
    </row>
    <row r="140" spans="2:7" x14ac:dyDescent="0.25">
      <c r="B140" s="10"/>
      <c r="C140" s="10"/>
      <c r="D140" s="10"/>
      <c r="E140" s="11"/>
      <c r="F140" s="11"/>
      <c r="G140" s="11"/>
    </row>
    <row r="141" spans="2:7" x14ac:dyDescent="0.25">
      <c r="B141" s="10"/>
      <c r="C141" s="10"/>
      <c r="D141" s="10"/>
      <c r="E141" s="11"/>
      <c r="F141" s="11"/>
      <c r="G141" s="11"/>
    </row>
    <row r="142" spans="2:7" x14ac:dyDescent="0.25">
      <c r="B142" s="10"/>
      <c r="C142" s="10"/>
      <c r="D142" s="10"/>
      <c r="E142" s="11"/>
      <c r="F142" s="11"/>
      <c r="G142" s="11"/>
    </row>
    <row r="143" spans="2:7" x14ac:dyDescent="0.25">
      <c r="B143" s="10"/>
      <c r="C143" s="10"/>
      <c r="D143" s="10"/>
      <c r="E143" s="11"/>
      <c r="F143" s="11"/>
      <c r="G143" s="11"/>
    </row>
    <row r="144" spans="2:7" x14ac:dyDescent="0.25">
      <c r="B144" s="10"/>
      <c r="C144" s="10"/>
      <c r="D144" s="10"/>
      <c r="E144" s="11"/>
      <c r="F144" s="11"/>
      <c r="G144" s="11"/>
    </row>
    <row r="145" spans="2:7" x14ac:dyDescent="0.25">
      <c r="B145" s="10"/>
      <c r="C145" s="10"/>
      <c r="D145" s="10"/>
      <c r="E145" s="11"/>
      <c r="F145" s="11"/>
      <c r="G145" s="11"/>
    </row>
    <row r="146" spans="2:7" x14ac:dyDescent="0.25">
      <c r="B146" s="10"/>
      <c r="C146" s="10"/>
      <c r="D146" s="10"/>
      <c r="E146" s="11"/>
      <c r="F146" s="11"/>
      <c r="G146" s="11"/>
    </row>
    <row r="147" spans="2:7" x14ac:dyDescent="0.25">
      <c r="B147" s="10"/>
      <c r="C147" s="10"/>
      <c r="D147" s="10"/>
      <c r="E147" s="11"/>
      <c r="F147" s="11"/>
      <c r="G147" s="11"/>
    </row>
    <row r="148" spans="2:7" x14ac:dyDescent="0.25">
      <c r="B148" s="10"/>
      <c r="C148" s="10"/>
      <c r="D148" s="10"/>
      <c r="E148" s="11"/>
      <c r="F148" s="11"/>
      <c r="G148" s="11"/>
    </row>
    <row r="149" spans="2:7" x14ac:dyDescent="0.25">
      <c r="B149" s="10"/>
      <c r="C149" s="10"/>
      <c r="D149" s="10"/>
      <c r="E149" s="11"/>
      <c r="F149" s="11"/>
      <c r="G149" s="11"/>
    </row>
    <row r="150" spans="2:7" x14ac:dyDescent="0.25">
      <c r="B150" s="10"/>
      <c r="C150" s="10"/>
      <c r="D150" s="10"/>
      <c r="E150" s="11"/>
      <c r="F150" s="11"/>
      <c r="G150" s="11"/>
    </row>
    <row r="151" spans="2:7" x14ac:dyDescent="0.25">
      <c r="B151" s="10"/>
      <c r="C151" s="10"/>
      <c r="D151" s="10"/>
      <c r="E151" s="11"/>
      <c r="F151" s="11"/>
      <c r="G151" s="11"/>
    </row>
    <row r="152" spans="2:7" x14ac:dyDescent="0.25">
      <c r="B152" s="10"/>
      <c r="C152" s="10"/>
      <c r="D152" s="10"/>
      <c r="E152" s="11"/>
      <c r="F152" s="11"/>
      <c r="G152" s="11"/>
    </row>
    <row r="153" spans="2:7" x14ac:dyDescent="0.25">
      <c r="B153" s="10"/>
      <c r="C153" s="10"/>
      <c r="D153" s="10"/>
      <c r="E153" s="11"/>
      <c r="F153" s="11"/>
      <c r="G153" s="11"/>
    </row>
    <row r="154" spans="2:7" x14ac:dyDescent="0.25">
      <c r="B154" s="10"/>
      <c r="C154" s="10"/>
      <c r="D154" s="10"/>
      <c r="E154" s="11"/>
      <c r="F154" s="11"/>
      <c r="G154" s="11"/>
    </row>
    <row r="155" spans="2:7" x14ac:dyDescent="0.25">
      <c r="B155" s="10"/>
      <c r="C155" s="10"/>
      <c r="D155" s="10"/>
      <c r="E155" s="11"/>
      <c r="F155" s="11"/>
      <c r="G155" s="11"/>
    </row>
    <row r="156" spans="2:7" x14ac:dyDescent="0.25">
      <c r="B156" s="10"/>
      <c r="C156" s="10"/>
      <c r="D156" s="10"/>
      <c r="E156" s="11"/>
      <c r="F156" s="11"/>
      <c r="G156" s="11"/>
    </row>
    <row r="157" spans="2:7" x14ac:dyDescent="0.25">
      <c r="B157" s="10"/>
      <c r="C157" s="10"/>
      <c r="D157" s="10"/>
      <c r="E157" s="11"/>
      <c r="F157" s="11"/>
      <c r="G157" s="11"/>
    </row>
    <row r="158" spans="2:7" x14ac:dyDescent="0.25">
      <c r="B158" s="10"/>
      <c r="C158" s="10"/>
      <c r="D158" s="10"/>
      <c r="E158" s="11"/>
      <c r="F158" s="11"/>
      <c r="G158" s="11"/>
    </row>
    <row r="159" spans="2:7" x14ac:dyDescent="0.25">
      <c r="B159" s="10"/>
      <c r="C159" s="10"/>
      <c r="D159" s="10"/>
      <c r="E159" s="11"/>
      <c r="F159" s="11"/>
      <c r="G159" s="11"/>
    </row>
    <row r="160" spans="2:7" x14ac:dyDescent="0.25">
      <c r="B160" s="10"/>
      <c r="C160" s="10"/>
      <c r="D160" s="10"/>
      <c r="E160" s="11"/>
      <c r="F160" s="11"/>
      <c r="G160" s="11"/>
    </row>
    <row r="161" spans="2:7" x14ac:dyDescent="0.25">
      <c r="B161" s="10"/>
      <c r="C161" s="10"/>
      <c r="D161" s="10"/>
      <c r="E161" s="11"/>
      <c r="F161" s="11"/>
      <c r="G161" s="11"/>
    </row>
    <row r="162" spans="2:7" x14ac:dyDescent="0.25">
      <c r="B162" s="10"/>
      <c r="C162" s="10"/>
      <c r="D162" s="10"/>
      <c r="E162" s="11"/>
      <c r="F162" s="11"/>
      <c r="G162" s="11"/>
    </row>
    <row r="163" spans="2:7" x14ac:dyDescent="0.25">
      <c r="B163" s="10"/>
      <c r="C163" s="10"/>
      <c r="D163" s="10"/>
      <c r="E163" s="11"/>
      <c r="F163" s="11"/>
      <c r="G163" s="11"/>
    </row>
    <row r="164" spans="2:7" x14ac:dyDescent="0.25">
      <c r="B164" s="10"/>
      <c r="C164" s="10"/>
      <c r="D164" s="10"/>
      <c r="E164" s="11"/>
      <c r="F164" s="11"/>
      <c r="G164" s="11"/>
    </row>
    <row r="165" spans="2:7" x14ac:dyDescent="0.25">
      <c r="B165" s="10"/>
      <c r="C165" s="10"/>
      <c r="D165" s="10"/>
      <c r="E165" s="11"/>
      <c r="F165" s="11"/>
      <c r="G165" s="11"/>
    </row>
    <row r="166" spans="2:7" x14ac:dyDescent="0.25">
      <c r="B166" s="10"/>
      <c r="C166" s="10"/>
      <c r="D166" s="10"/>
      <c r="E166" s="11"/>
      <c r="F166" s="11"/>
      <c r="G166" s="11"/>
    </row>
    <row r="167" spans="2:7" x14ac:dyDescent="0.25">
      <c r="B167" s="10"/>
      <c r="C167" s="10"/>
      <c r="D167" s="10"/>
      <c r="E167" s="11"/>
      <c r="F167" s="11"/>
      <c r="G167" s="11"/>
    </row>
    <row r="168" spans="2:7" x14ac:dyDescent="0.25">
      <c r="B168" s="10"/>
      <c r="C168" s="10"/>
      <c r="D168" s="10"/>
      <c r="E168" s="11"/>
      <c r="F168" s="11"/>
      <c r="G168" s="11"/>
    </row>
    <row r="169" spans="2:7" x14ac:dyDescent="0.25">
      <c r="B169" s="10"/>
      <c r="C169" s="10"/>
      <c r="D169" s="10"/>
      <c r="E169" s="11"/>
      <c r="F169" s="11"/>
      <c r="G169" s="11"/>
    </row>
    <row r="170" spans="2:7" x14ac:dyDescent="0.25">
      <c r="B170" s="10"/>
      <c r="C170" s="10"/>
      <c r="D170" s="10"/>
      <c r="E170" s="11"/>
      <c r="F170" s="11"/>
      <c r="G170" s="11"/>
    </row>
    <row r="171" spans="2:7" x14ac:dyDescent="0.25">
      <c r="B171" s="10"/>
      <c r="C171" s="10"/>
      <c r="D171" s="10"/>
      <c r="E171" s="11"/>
      <c r="F171" s="11"/>
      <c r="G171" s="11"/>
    </row>
    <row r="172" spans="2:7" x14ac:dyDescent="0.25">
      <c r="B172" s="10"/>
      <c r="C172" s="10"/>
      <c r="D172" s="10"/>
      <c r="E172" s="11"/>
      <c r="F172" s="11"/>
      <c r="G172" s="11"/>
    </row>
    <row r="173" spans="2:7" x14ac:dyDescent="0.25">
      <c r="B173" s="10"/>
      <c r="C173" s="10"/>
      <c r="D173" s="10"/>
      <c r="E173" s="11"/>
      <c r="F173" s="11"/>
      <c r="G173" s="11"/>
    </row>
    <row r="174" spans="2:7" x14ac:dyDescent="0.25">
      <c r="B174" s="10"/>
      <c r="C174" s="10"/>
      <c r="D174" s="10"/>
      <c r="E174" s="11"/>
      <c r="F174" s="11"/>
      <c r="G174" s="11"/>
    </row>
    <row r="175" spans="2:7" x14ac:dyDescent="0.25">
      <c r="B175" s="10"/>
      <c r="C175" s="10"/>
      <c r="D175" s="10"/>
      <c r="E175" s="11"/>
      <c r="F175" s="11"/>
      <c r="G175" s="11"/>
    </row>
    <row r="176" spans="2:7" x14ac:dyDescent="0.25">
      <c r="B176" s="10"/>
      <c r="C176" s="10"/>
      <c r="D176" s="10"/>
      <c r="E176" s="11"/>
      <c r="F176" s="11"/>
      <c r="G176" s="11"/>
    </row>
    <row r="177" spans="2:7" x14ac:dyDescent="0.25">
      <c r="B177" s="10"/>
      <c r="C177" s="10"/>
      <c r="D177" s="10"/>
      <c r="E177" s="11"/>
      <c r="F177" s="11"/>
      <c r="G177" s="11"/>
    </row>
    <row r="178" spans="2:7" x14ac:dyDescent="0.25">
      <c r="B178" s="10"/>
      <c r="C178" s="10"/>
      <c r="D178" s="10"/>
      <c r="E178" s="11"/>
      <c r="F178" s="11"/>
      <c r="G178" s="11"/>
    </row>
    <row r="179" spans="2:7" x14ac:dyDescent="0.25">
      <c r="B179" s="10"/>
      <c r="C179" s="10"/>
      <c r="D179" s="10"/>
      <c r="E179" s="11"/>
      <c r="F179" s="11"/>
      <c r="G179" s="11"/>
    </row>
    <row r="180" spans="2:7" x14ac:dyDescent="0.25">
      <c r="B180" s="10"/>
      <c r="C180" s="10"/>
      <c r="D180" s="10"/>
      <c r="E180" s="11"/>
      <c r="F180" s="11"/>
      <c r="G180" s="11"/>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28.02.2025</v>
      </c>
      <c r="B2" s="280"/>
      <c r="C2" s="280"/>
      <c r="D2" s="280"/>
      <c r="E2" s="26"/>
      <c r="F2" s="26"/>
      <c r="G2" s="26"/>
      <c r="H2" s="26"/>
      <c r="I2" s="26"/>
      <c r="J2" s="26"/>
      <c r="K2" s="26"/>
      <c r="L2" s="26"/>
      <c r="M2" s="26"/>
      <c r="N2" s="26"/>
      <c r="O2" s="26"/>
      <c r="P2" s="26"/>
      <c r="Q2" s="26"/>
      <c r="R2" s="26"/>
      <c r="S2" s="26"/>
    </row>
    <row r="3" spans="1:19" ht="18.5" x14ac:dyDescent="0.45">
      <c r="A3" s="282" t="str">
        <f>IF(REPORT_LANG="UKR","(за типом кредитора)","by borrowing market (creditors)")</f>
        <v>(за типом кредитора)</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143" t="str">
        <f>IF(REPORT_LANG="UKR","дол.США","USD")</f>
        <v>дол.США</v>
      </c>
      <c r="C6" s="143" t="str">
        <f>IF(REPORT_LANG="UKR","грн.","UAH")</f>
        <v>грн.</v>
      </c>
      <c r="D6" s="69" t="s">
        <v>0</v>
      </c>
    </row>
    <row r="7" spans="1:19" s="15" customFormat="1" ht="15.5" x14ac:dyDescent="0.25">
      <c r="A7" s="145" t="str">
        <f>DEBT_TOTAL</f>
        <v>Загальна сума державного та гарантованого державою боргу</v>
      </c>
      <c r="B7" s="121">
        <f>B$8+B$58</f>
        <v>169.08837600780001</v>
      </c>
      <c r="C7" s="121">
        <f>C$8+C$58</f>
        <v>7019.5348415889594</v>
      </c>
      <c r="D7" s="122">
        <f>D$8+D$58</f>
        <v>0.99999399999999994</v>
      </c>
    </row>
    <row r="8" spans="1:19" s="16" customFormat="1" ht="14.5" outlineLevel="1" x14ac:dyDescent="0.25">
      <c r="A8" s="190" t="s">
        <v>57</v>
      </c>
      <c r="B8" s="191">
        <f>B$9+B$43</f>
        <v>46.076083150560002</v>
      </c>
      <c r="C8" s="191">
        <f>C$9+C$43</f>
        <v>1912.8025159084993</v>
      </c>
      <c r="D8" s="192">
        <f>D$9+D$43</f>
        <v>0.27249100000000004</v>
      </c>
    </row>
    <row r="9" spans="1:19" s="17" customFormat="1" ht="14.5" outlineLevel="2" x14ac:dyDescent="0.25">
      <c r="A9" s="105" t="s">
        <v>1</v>
      </c>
      <c r="B9" s="106">
        <f>B$10+B$41</f>
        <v>44.313178305210002</v>
      </c>
      <c r="C9" s="106">
        <f>C$10+C$41</f>
        <v>1839.6172841585794</v>
      </c>
      <c r="D9" s="107">
        <f>D$10+D$41</f>
        <v>0.26206500000000005</v>
      </c>
    </row>
    <row r="10" spans="1:19" s="18" customFormat="1" ht="14" outlineLevel="3" x14ac:dyDescent="0.25">
      <c r="A10" s="208" t="s">
        <v>58</v>
      </c>
      <c r="B10" s="209">
        <f>SUM(B$11:B$40)</f>
        <v>44.278135241480001</v>
      </c>
      <c r="C10" s="209">
        <f>SUM(C$11:C$40)</f>
        <v>1838.1625064107993</v>
      </c>
      <c r="D10" s="210">
        <f>SUM(D$11:D$40)</f>
        <v>0.26185800000000004</v>
      </c>
    </row>
    <row r="11" spans="1:19" outlineLevel="4" x14ac:dyDescent="0.3">
      <c r="A11" s="196" t="s">
        <v>59</v>
      </c>
      <c r="B11" s="197">
        <v>1.4123052223300001</v>
      </c>
      <c r="C11" s="197">
        <v>58.630439000000003</v>
      </c>
      <c r="D11" s="108">
        <v>8.352E-3</v>
      </c>
      <c r="E11" s="26"/>
      <c r="F11" s="26"/>
      <c r="G11" s="26"/>
      <c r="H11" s="26"/>
      <c r="I11" s="26"/>
      <c r="J11" s="26"/>
      <c r="K11" s="26"/>
      <c r="L11" s="26"/>
      <c r="M11" s="26"/>
      <c r="N11" s="26"/>
      <c r="O11" s="26"/>
      <c r="P11" s="26"/>
      <c r="Q11" s="26"/>
    </row>
    <row r="12" spans="1:19" outlineLevel="4" x14ac:dyDescent="0.3">
      <c r="A12" s="175" t="s">
        <v>60</v>
      </c>
      <c r="B12" s="176">
        <v>0.42233945175999998</v>
      </c>
      <c r="C12" s="176">
        <v>17.533000000000001</v>
      </c>
      <c r="D12" s="198">
        <v>2.4979999999999998E-3</v>
      </c>
      <c r="E12" s="26"/>
      <c r="F12" s="26"/>
      <c r="G12" s="26"/>
      <c r="H12" s="26"/>
      <c r="I12" s="26"/>
      <c r="J12" s="26"/>
      <c r="K12" s="26"/>
      <c r="L12" s="26"/>
      <c r="M12" s="26"/>
      <c r="N12" s="26"/>
      <c r="O12" s="26"/>
      <c r="P12" s="26"/>
      <c r="Q12" s="26"/>
    </row>
    <row r="13" spans="1:19" outlineLevel="4" x14ac:dyDescent="0.3">
      <c r="A13" s="175" t="s">
        <v>61</v>
      </c>
      <c r="B13" s="176">
        <v>9.0949752080000001E-2</v>
      </c>
      <c r="C13" s="176">
        <v>3.7756880077999999</v>
      </c>
      <c r="D13" s="198">
        <v>5.3799999999999996E-4</v>
      </c>
      <c r="E13" s="26"/>
      <c r="F13" s="26"/>
      <c r="G13" s="26"/>
      <c r="H13" s="26"/>
      <c r="I13" s="26"/>
      <c r="J13" s="26"/>
      <c r="K13" s="26"/>
      <c r="L13" s="26"/>
      <c r="M13" s="26"/>
      <c r="N13" s="26"/>
      <c r="O13" s="26"/>
      <c r="P13" s="26"/>
      <c r="Q13" s="26"/>
    </row>
    <row r="14" spans="1:19" outlineLevel="4" x14ac:dyDescent="0.3">
      <c r="A14" s="175" t="s">
        <v>62</v>
      </c>
      <c r="B14" s="176">
        <v>1.2044129691300001</v>
      </c>
      <c r="C14" s="176">
        <v>50</v>
      </c>
      <c r="D14" s="198">
        <v>7.123E-3</v>
      </c>
      <c r="E14" s="26"/>
      <c r="F14" s="26"/>
      <c r="G14" s="26"/>
      <c r="H14" s="26"/>
      <c r="I14" s="26"/>
      <c r="J14" s="26"/>
      <c r="K14" s="26"/>
      <c r="L14" s="26"/>
      <c r="M14" s="26"/>
      <c r="N14" s="26"/>
      <c r="O14" s="26"/>
      <c r="P14" s="26"/>
      <c r="Q14" s="26"/>
    </row>
    <row r="15" spans="1:19" outlineLevel="4" x14ac:dyDescent="0.3">
      <c r="A15" s="175" t="s">
        <v>63</v>
      </c>
      <c r="B15" s="176">
        <v>0.81177436528000002</v>
      </c>
      <c r="C15" s="176">
        <v>33.700001</v>
      </c>
      <c r="D15" s="198">
        <v>4.8009999999999997E-3</v>
      </c>
      <c r="E15" s="26"/>
      <c r="F15" s="26"/>
      <c r="G15" s="26"/>
      <c r="H15" s="26"/>
      <c r="I15" s="26"/>
      <c r="J15" s="26"/>
      <c r="K15" s="26"/>
      <c r="L15" s="26"/>
      <c r="M15" s="26"/>
      <c r="N15" s="26"/>
      <c r="O15" s="26"/>
      <c r="P15" s="26"/>
      <c r="Q15" s="26"/>
    </row>
    <row r="16" spans="1:19" outlineLevel="4" x14ac:dyDescent="0.3">
      <c r="A16" s="175" t="s">
        <v>64</v>
      </c>
      <c r="B16" s="176">
        <v>1.1297393650300001</v>
      </c>
      <c r="C16" s="176">
        <v>46.9</v>
      </c>
      <c r="D16" s="198">
        <v>6.6810000000000003E-3</v>
      </c>
      <c r="E16" s="26"/>
      <c r="F16" s="26"/>
      <c r="G16" s="26"/>
      <c r="H16" s="26"/>
      <c r="I16" s="26"/>
      <c r="J16" s="26"/>
      <c r="K16" s="26"/>
      <c r="L16" s="26"/>
      <c r="M16" s="26"/>
      <c r="N16" s="26"/>
      <c r="O16" s="26"/>
      <c r="P16" s="26"/>
      <c r="Q16" s="26"/>
    </row>
    <row r="17" spans="1:17" outlineLevel="4" x14ac:dyDescent="0.3">
      <c r="A17" s="175" t="s">
        <v>65</v>
      </c>
      <c r="B17" s="176">
        <v>5.4319775738300002</v>
      </c>
      <c r="C17" s="176">
        <v>225.503117</v>
      </c>
      <c r="D17" s="198">
        <v>3.2125000000000001E-2</v>
      </c>
      <c r="E17" s="26"/>
      <c r="F17" s="26"/>
      <c r="G17" s="26"/>
      <c r="H17" s="26"/>
      <c r="I17" s="26"/>
      <c r="J17" s="26"/>
      <c r="K17" s="26"/>
      <c r="L17" s="26"/>
      <c r="M17" s="26"/>
      <c r="N17" s="26"/>
      <c r="O17" s="26"/>
      <c r="P17" s="26"/>
      <c r="Q17" s="26"/>
    </row>
    <row r="18" spans="1:17" outlineLevel="4" x14ac:dyDescent="0.3">
      <c r="A18" s="175" t="s">
        <v>66</v>
      </c>
      <c r="B18" s="176">
        <v>0.29141359542</v>
      </c>
      <c r="C18" s="176">
        <v>12.097744</v>
      </c>
      <c r="D18" s="198">
        <v>1.7229999999999999E-3</v>
      </c>
      <c r="E18" s="26"/>
      <c r="F18" s="26"/>
      <c r="G18" s="26"/>
      <c r="H18" s="26"/>
      <c r="I18" s="26"/>
      <c r="J18" s="26"/>
      <c r="K18" s="26"/>
      <c r="L18" s="26"/>
      <c r="M18" s="26"/>
      <c r="N18" s="26"/>
      <c r="O18" s="26"/>
      <c r="P18" s="26"/>
      <c r="Q18" s="26"/>
    </row>
    <row r="19" spans="1:17" outlineLevel="4" x14ac:dyDescent="0.3">
      <c r="A19" s="175" t="s">
        <v>67</v>
      </c>
      <c r="B19" s="176">
        <v>0.65273748616000005</v>
      </c>
      <c r="C19" s="176">
        <v>27.097743999999999</v>
      </c>
      <c r="D19" s="198">
        <v>3.8600000000000001E-3</v>
      </c>
      <c r="E19" s="26"/>
      <c r="F19" s="26"/>
      <c r="G19" s="26"/>
      <c r="H19" s="26"/>
      <c r="I19" s="26"/>
      <c r="J19" s="26"/>
      <c r="K19" s="26"/>
      <c r="L19" s="26"/>
      <c r="M19" s="26"/>
      <c r="N19" s="26"/>
      <c r="O19" s="26"/>
      <c r="P19" s="26"/>
      <c r="Q19" s="26"/>
    </row>
    <row r="20" spans="1:17" outlineLevel="4" x14ac:dyDescent="0.3">
      <c r="A20" s="175" t="s">
        <v>68</v>
      </c>
      <c r="B20" s="176">
        <v>6.8226534519399999</v>
      </c>
      <c r="C20" s="176">
        <v>283.235635403</v>
      </c>
      <c r="D20" s="198">
        <v>4.0349999999999997E-2</v>
      </c>
      <c r="E20" s="26"/>
      <c r="F20" s="26"/>
      <c r="G20" s="26"/>
      <c r="H20" s="26"/>
      <c r="I20" s="26"/>
      <c r="J20" s="26"/>
      <c r="K20" s="26"/>
      <c r="L20" s="26"/>
      <c r="M20" s="26"/>
      <c r="N20" s="26"/>
      <c r="O20" s="26"/>
      <c r="P20" s="26"/>
      <c r="Q20" s="26"/>
    </row>
    <row r="21" spans="1:17" outlineLevel="4" x14ac:dyDescent="0.3">
      <c r="A21" s="175" t="s">
        <v>69</v>
      </c>
      <c r="B21" s="176">
        <v>0.29141359542</v>
      </c>
      <c r="C21" s="176">
        <v>12.097744</v>
      </c>
      <c r="D21" s="198">
        <v>1.7229999999999999E-3</v>
      </c>
      <c r="E21" s="26"/>
      <c r="F21" s="26"/>
      <c r="G21" s="26"/>
      <c r="H21" s="26"/>
      <c r="I21" s="26"/>
      <c r="J21" s="26"/>
      <c r="K21" s="26"/>
      <c r="L21" s="26"/>
      <c r="M21" s="26"/>
      <c r="N21" s="26"/>
      <c r="O21" s="26"/>
      <c r="P21" s="26"/>
      <c r="Q21" s="26"/>
    </row>
    <row r="22" spans="1:17" outlineLevel="4" x14ac:dyDescent="0.3">
      <c r="A22" s="175" t="s">
        <v>70</v>
      </c>
      <c r="B22" s="176">
        <v>0.29141359542</v>
      </c>
      <c r="C22" s="176">
        <v>12.097744</v>
      </c>
      <c r="D22" s="198">
        <v>1.7229999999999999E-3</v>
      </c>
      <c r="E22" s="26"/>
      <c r="F22" s="26"/>
      <c r="G22" s="26"/>
      <c r="H22" s="26"/>
      <c r="I22" s="26"/>
      <c r="J22" s="26"/>
      <c r="K22" s="26"/>
      <c r="L22" s="26"/>
      <c r="M22" s="26"/>
      <c r="N22" s="26"/>
      <c r="O22" s="26"/>
      <c r="P22" s="26"/>
      <c r="Q22" s="26"/>
    </row>
    <row r="23" spans="1:17" outlineLevel="4" x14ac:dyDescent="0.3">
      <c r="A23" s="175" t="s">
        <v>71</v>
      </c>
      <c r="B23" s="176">
        <v>6.6188429927100003</v>
      </c>
      <c r="C23" s="176">
        <v>274.77464800000001</v>
      </c>
      <c r="D23" s="198">
        <v>3.9143999999999998E-2</v>
      </c>
      <c r="E23" s="26"/>
      <c r="F23" s="26"/>
      <c r="G23" s="26"/>
      <c r="H23" s="26"/>
      <c r="I23" s="26"/>
      <c r="J23" s="26"/>
      <c r="K23" s="26"/>
      <c r="L23" s="26"/>
      <c r="M23" s="26"/>
      <c r="N23" s="26"/>
      <c r="O23" s="26"/>
      <c r="P23" s="26"/>
      <c r="Q23" s="26"/>
    </row>
    <row r="24" spans="1:17" outlineLevel="4" x14ac:dyDescent="0.3">
      <c r="A24" s="175" t="s">
        <v>72</v>
      </c>
      <c r="B24" s="176">
        <v>0.29141359542</v>
      </c>
      <c r="C24" s="176">
        <v>12.097744</v>
      </c>
      <c r="D24" s="198">
        <v>1.7229999999999999E-3</v>
      </c>
      <c r="E24" s="26"/>
      <c r="F24" s="26"/>
      <c r="G24" s="26"/>
      <c r="H24" s="26"/>
      <c r="I24" s="26"/>
      <c r="J24" s="26"/>
      <c r="K24" s="26"/>
      <c r="L24" s="26"/>
      <c r="M24" s="26"/>
      <c r="N24" s="26"/>
      <c r="O24" s="26"/>
      <c r="P24" s="26"/>
      <c r="Q24" s="26"/>
    </row>
    <row r="25" spans="1:17" outlineLevel="4" x14ac:dyDescent="0.3">
      <c r="A25" s="175" t="s">
        <v>73</v>
      </c>
      <c r="B25" s="176">
        <v>0.29141359542</v>
      </c>
      <c r="C25" s="176">
        <v>12.097744</v>
      </c>
      <c r="D25" s="198">
        <v>1.7229999999999999E-3</v>
      </c>
      <c r="E25" s="26"/>
      <c r="F25" s="26"/>
      <c r="G25" s="26"/>
      <c r="H25" s="26"/>
      <c r="I25" s="26"/>
      <c r="J25" s="26"/>
      <c r="K25" s="26"/>
      <c r="L25" s="26"/>
      <c r="M25" s="26"/>
      <c r="N25" s="26"/>
      <c r="O25" s="26"/>
      <c r="P25" s="26"/>
      <c r="Q25" s="26"/>
    </row>
    <row r="26" spans="1:17" outlineLevel="4" x14ac:dyDescent="0.3">
      <c r="A26" s="175" t="s">
        <v>74</v>
      </c>
      <c r="B26" s="176">
        <v>0.29141359542</v>
      </c>
      <c r="C26" s="176">
        <v>12.097744</v>
      </c>
      <c r="D26" s="198">
        <v>1.7229999999999999E-3</v>
      </c>
      <c r="E26" s="26"/>
      <c r="F26" s="26"/>
      <c r="G26" s="26"/>
      <c r="H26" s="26"/>
      <c r="I26" s="26"/>
      <c r="J26" s="26"/>
      <c r="K26" s="26"/>
      <c r="L26" s="26"/>
      <c r="M26" s="26"/>
      <c r="N26" s="26"/>
      <c r="O26" s="26"/>
      <c r="P26" s="26"/>
      <c r="Q26" s="26"/>
    </row>
    <row r="27" spans="1:17" outlineLevel="4" x14ac:dyDescent="0.3">
      <c r="A27" s="175" t="s">
        <v>75</v>
      </c>
      <c r="B27" s="176">
        <v>0.29141359542</v>
      </c>
      <c r="C27" s="176">
        <v>12.097744</v>
      </c>
      <c r="D27" s="198">
        <v>1.7229999999999999E-3</v>
      </c>
      <c r="E27" s="26"/>
      <c r="F27" s="26"/>
      <c r="G27" s="26"/>
      <c r="H27" s="26"/>
      <c r="I27" s="26"/>
      <c r="J27" s="26"/>
      <c r="K27" s="26"/>
      <c r="L27" s="26"/>
      <c r="M27" s="26"/>
      <c r="N27" s="26"/>
      <c r="O27" s="26"/>
      <c r="P27" s="26"/>
      <c r="Q27" s="26"/>
    </row>
    <row r="28" spans="1:17" outlineLevel="4" x14ac:dyDescent="0.3">
      <c r="A28" s="175" t="s">
        <v>76</v>
      </c>
      <c r="B28" s="176">
        <v>0.29141359542</v>
      </c>
      <c r="C28" s="176">
        <v>12.097744</v>
      </c>
      <c r="D28" s="198">
        <v>1.7229999999999999E-3</v>
      </c>
      <c r="E28" s="26"/>
      <c r="F28" s="26"/>
      <c r="G28" s="26"/>
      <c r="H28" s="26"/>
      <c r="I28" s="26"/>
      <c r="J28" s="26"/>
      <c r="K28" s="26"/>
      <c r="L28" s="26"/>
      <c r="M28" s="26"/>
      <c r="N28" s="26"/>
      <c r="O28" s="26"/>
      <c r="P28" s="26"/>
      <c r="Q28" s="26"/>
    </row>
    <row r="29" spans="1:17" outlineLevel="4" x14ac:dyDescent="0.3">
      <c r="A29" s="175" t="s">
        <v>77</v>
      </c>
      <c r="B29" s="176">
        <v>0.29141359542</v>
      </c>
      <c r="C29" s="176">
        <v>12.097744</v>
      </c>
      <c r="D29" s="198">
        <v>1.7229999999999999E-3</v>
      </c>
      <c r="E29" s="26"/>
      <c r="F29" s="26"/>
      <c r="G29" s="26"/>
      <c r="H29" s="26"/>
      <c r="I29" s="26"/>
      <c r="J29" s="26"/>
      <c r="K29" s="26"/>
      <c r="L29" s="26"/>
      <c r="M29" s="26"/>
      <c r="N29" s="26"/>
      <c r="O29" s="26"/>
      <c r="P29" s="26"/>
      <c r="Q29" s="26"/>
    </row>
    <row r="30" spans="1:17" outlineLevel="4" x14ac:dyDescent="0.3">
      <c r="A30" s="175" t="s">
        <v>78</v>
      </c>
      <c r="B30" s="176">
        <v>0.29141359542</v>
      </c>
      <c r="C30" s="176">
        <v>12.097744</v>
      </c>
      <c r="D30" s="198">
        <v>1.7229999999999999E-3</v>
      </c>
      <c r="E30" s="26"/>
      <c r="F30" s="26"/>
      <c r="G30" s="26"/>
      <c r="H30" s="26"/>
      <c r="I30" s="26"/>
      <c r="J30" s="26"/>
      <c r="K30" s="26"/>
      <c r="L30" s="26"/>
      <c r="M30" s="26"/>
      <c r="N30" s="26"/>
      <c r="O30" s="26"/>
      <c r="P30" s="26"/>
      <c r="Q30" s="26"/>
    </row>
    <row r="31" spans="1:17" outlineLevel="4" x14ac:dyDescent="0.3">
      <c r="A31" s="175" t="s">
        <v>79</v>
      </c>
      <c r="B31" s="176">
        <v>0.29141359542</v>
      </c>
      <c r="C31" s="176">
        <v>12.097744</v>
      </c>
      <c r="D31" s="198">
        <v>1.7229999999999999E-3</v>
      </c>
      <c r="E31" s="26"/>
      <c r="F31" s="26"/>
      <c r="G31" s="26"/>
      <c r="H31" s="26"/>
      <c r="I31" s="26"/>
      <c r="J31" s="26"/>
      <c r="K31" s="26"/>
      <c r="L31" s="26"/>
      <c r="M31" s="26"/>
      <c r="N31" s="26"/>
      <c r="O31" s="26"/>
      <c r="P31" s="26"/>
      <c r="Q31" s="26"/>
    </row>
    <row r="32" spans="1:17" outlineLevel="4" x14ac:dyDescent="0.3">
      <c r="A32" s="175" t="s">
        <v>80</v>
      </c>
      <c r="B32" s="176">
        <v>0.29141359542</v>
      </c>
      <c r="C32" s="176">
        <v>12.097744</v>
      </c>
      <c r="D32" s="198">
        <v>1.7229999999999999E-3</v>
      </c>
      <c r="E32" s="26"/>
      <c r="F32" s="26"/>
      <c r="G32" s="26"/>
      <c r="H32" s="26"/>
      <c r="I32" s="26"/>
      <c r="J32" s="26"/>
      <c r="K32" s="26"/>
      <c r="L32" s="26"/>
      <c r="M32" s="26"/>
      <c r="N32" s="26"/>
      <c r="O32" s="26"/>
      <c r="P32" s="26"/>
      <c r="Q32" s="26"/>
    </row>
    <row r="33" spans="1:17" outlineLevel="4" x14ac:dyDescent="0.3">
      <c r="A33" s="175" t="s">
        <v>81</v>
      </c>
      <c r="B33" s="176">
        <v>0.29141359542</v>
      </c>
      <c r="C33" s="176">
        <v>12.097744</v>
      </c>
      <c r="D33" s="198">
        <v>1.7229999999999999E-3</v>
      </c>
      <c r="E33" s="26"/>
      <c r="F33" s="26"/>
      <c r="G33" s="26"/>
      <c r="H33" s="26"/>
      <c r="I33" s="26"/>
      <c r="J33" s="26"/>
      <c r="K33" s="26"/>
      <c r="L33" s="26"/>
      <c r="M33" s="26"/>
      <c r="N33" s="26"/>
      <c r="O33" s="26"/>
      <c r="P33" s="26"/>
      <c r="Q33" s="26"/>
    </row>
    <row r="34" spans="1:17" outlineLevel="4" x14ac:dyDescent="0.3">
      <c r="A34" s="175" t="s">
        <v>83</v>
      </c>
      <c r="B34" s="176">
        <v>7.0964273016100003</v>
      </c>
      <c r="C34" s="176">
        <v>294.60108300000002</v>
      </c>
      <c r="D34" s="198">
        <v>4.1968999999999999E-2</v>
      </c>
      <c r="E34" s="26"/>
      <c r="F34" s="26"/>
      <c r="G34" s="26"/>
      <c r="H34" s="26"/>
      <c r="I34" s="26"/>
      <c r="J34" s="26"/>
      <c r="K34" s="26"/>
      <c r="L34" s="26"/>
      <c r="M34" s="26"/>
      <c r="N34" s="26"/>
      <c r="O34" s="26"/>
      <c r="P34" s="26"/>
      <c r="Q34" s="26"/>
    </row>
    <row r="35" spans="1:17" outlineLevel="4" x14ac:dyDescent="0.3">
      <c r="A35" s="175" t="s">
        <v>84</v>
      </c>
      <c r="B35" s="176">
        <v>6.1930373127399996</v>
      </c>
      <c r="C35" s="176">
        <v>257.09775100000002</v>
      </c>
      <c r="D35" s="198">
        <v>3.6625999999999999E-2</v>
      </c>
      <c r="E35" s="26"/>
      <c r="F35" s="26"/>
      <c r="G35" s="26"/>
      <c r="H35" s="26"/>
      <c r="I35" s="26"/>
      <c r="J35" s="26"/>
      <c r="K35" s="26"/>
      <c r="L35" s="26"/>
      <c r="M35" s="26"/>
      <c r="N35" s="26"/>
      <c r="O35" s="26"/>
      <c r="P35" s="26"/>
      <c r="Q35" s="26"/>
    </row>
    <row r="36" spans="1:17" outlineLevel="4" x14ac:dyDescent="0.3">
      <c r="A36" s="175" t="s">
        <v>85</v>
      </c>
      <c r="B36" s="176">
        <v>0.87179748997999995</v>
      </c>
      <c r="C36" s="176">
        <v>36.191800999999998</v>
      </c>
      <c r="D36" s="198">
        <v>5.156E-3</v>
      </c>
      <c r="E36" s="26"/>
      <c r="F36" s="26"/>
      <c r="G36" s="26"/>
      <c r="H36" s="26"/>
      <c r="I36" s="26"/>
      <c r="J36" s="26"/>
      <c r="K36" s="26"/>
      <c r="L36" s="26"/>
      <c r="M36" s="26"/>
      <c r="N36" s="26"/>
      <c r="O36" s="26"/>
      <c r="P36" s="26"/>
      <c r="Q36" s="26"/>
    </row>
    <row r="37" spans="1:17" outlineLevel="4" x14ac:dyDescent="0.3">
      <c r="A37" s="175" t="s">
        <v>86</v>
      </c>
      <c r="B37" s="176">
        <v>1.10972770632</v>
      </c>
      <c r="C37" s="176">
        <v>46.069235999999997</v>
      </c>
      <c r="D37" s="198">
        <v>6.5630000000000003E-3</v>
      </c>
      <c r="E37" s="26"/>
      <c r="F37" s="26"/>
      <c r="G37" s="26"/>
      <c r="H37" s="26"/>
      <c r="I37" s="26"/>
      <c r="J37" s="26"/>
      <c r="K37" s="26"/>
      <c r="L37" s="26"/>
      <c r="M37" s="26"/>
      <c r="N37" s="26"/>
      <c r="O37" s="26"/>
      <c r="P37" s="26"/>
      <c r="Q37" s="26"/>
    </row>
    <row r="38" spans="1:17" outlineLevel="4" x14ac:dyDescent="0.3">
      <c r="A38" s="175" t="s">
        <v>89</v>
      </c>
      <c r="B38" s="176">
        <v>0.42832998505999997</v>
      </c>
      <c r="C38" s="176">
        <v>17.781690999999999</v>
      </c>
      <c r="D38" s="198">
        <v>2.5330000000000001E-3</v>
      </c>
      <c r="E38" s="26"/>
      <c r="F38" s="26"/>
      <c r="G38" s="26"/>
      <c r="H38" s="26"/>
      <c r="I38" s="26"/>
      <c r="J38" s="26"/>
      <c r="K38" s="26"/>
      <c r="L38" s="26"/>
      <c r="M38" s="26"/>
      <c r="N38" s="26"/>
      <c r="O38" s="26"/>
      <c r="P38" s="26"/>
      <c r="Q38" s="26"/>
    </row>
    <row r="39" spans="1:17" outlineLevel="4" x14ac:dyDescent="0.3">
      <c r="A39" s="175" t="s">
        <v>90</v>
      </c>
      <c r="B39" s="176">
        <v>6.0220648459999998E-2</v>
      </c>
      <c r="C39" s="176">
        <v>2.5</v>
      </c>
      <c r="D39" s="198">
        <v>3.5599999999999998E-4</v>
      </c>
      <c r="E39" s="26"/>
      <c r="F39" s="26"/>
      <c r="G39" s="26"/>
      <c r="H39" s="26"/>
      <c r="I39" s="26"/>
      <c r="J39" s="26"/>
      <c r="K39" s="26"/>
      <c r="L39" s="26"/>
      <c r="M39" s="26"/>
      <c r="N39" s="26"/>
      <c r="O39" s="26"/>
      <c r="P39" s="26"/>
      <c r="Q39" s="26"/>
    </row>
    <row r="40" spans="1:17" outlineLevel="4" x14ac:dyDescent="0.3">
      <c r="A40" s="175" t="s">
        <v>92</v>
      </c>
      <c r="B40" s="176">
        <v>0.13248542660000001</v>
      </c>
      <c r="C40" s="176">
        <v>5.5</v>
      </c>
      <c r="D40" s="198">
        <v>7.8399999999999997E-4</v>
      </c>
      <c r="E40" s="26"/>
      <c r="F40" s="26"/>
      <c r="G40" s="26"/>
      <c r="H40" s="26"/>
      <c r="I40" s="26"/>
      <c r="J40" s="26"/>
      <c r="K40" s="26"/>
      <c r="L40" s="26"/>
      <c r="M40" s="26"/>
      <c r="N40" s="26"/>
      <c r="O40" s="26"/>
      <c r="P40" s="26"/>
      <c r="Q40" s="26"/>
    </row>
    <row r="41" spans="1:17" ht="14" outlineLevel="3" x14ac:dyDescent="0.35">
      <c r="A41" s="211" t="s">
        <v>93</v>
      </c>
      <c r="B41" s="212">
        <f>SUM(B$42:B$42)</f>
        <v>3.5043063729999997E-2</v>
      </c>
      <c r="C41" s="212">
        <f>SUM(C$42:C$42)</f>
        <v>1.4547777477799999</v>
      </c>
      <c r="D41" s="213">
        <f>SUM(D$42:D$42)</f>
        <v>2.0699999999999999E-4</v>
      </c>
      <c r="E41" s="26"/>
      <c r="F41" s="26"/>
      <c r="G41" s="26"/>
      <c r="H41" s="26"/>
      <c r="I41" s="26"/>
      <c r="J41" s="26"/>
      <c r="K41" s="26"/>
      <c r="L41" s="26"/>
      <c r="M41" s="26"/>
      <c r="N41" s="26"/>
      <c r="O41" s="26"/>
      <c r="P41" s="26"/>
      <c r="Q41" s="26"/>
    </row>
    <row r="42" spans="1:17" outlineLevel="4" x14ac:dyDescent="0.3">
      <c r="A42" s="175" t="s">
        <v>94</v>
      </c>
      <c r="B42" s="176">
        <v>3.5043063729999997E-2</v>
      </c>
      <c r="C42" s="176">
        <v>1.4547777477799999</v>
      </c>
      <c r="D42" s="198">
        <v>2.0699999999999999E-4</v>
      </c>
      <c r="E42" s="26"/>
      <c r="F42" s="26"/>
      <c r="G42" s="26"/>
      <c r="H42" s="26"/>
      <c r="I42" s="26"/>
      <c r="J42" s="26"/>
      <c r="K42" s="26"/>
      <c r="L42" s="26"/>
      <c r="M42" s="26"/>
      <c r="N42" s="26"/>
      <c r="O42" s="26"/>
      <c r="P42" s="26"/>
      <c r="Q42" s="26"/>
    </row>
    <row r="43" spans="1:17" ht="14.5" outlineLevel="2" x14ac:dyDescent="0.35">
      <c r="A43" s="202" t="s">
        <v>2</v>
      </c>
      <c r="B43" s="203">
        <f>B$44+B$48+B$56</f>
        <v>1.76290484535</v>
      </c>
      <c r="C43" s="203">
        <f>C$44+C$48+C$56</f>
        <v>73.185231749920007</v>
      </c>
      <c r="D43" s="204">
        <f>D$44+D$48+D$56</f>
        <v>1.0426000000000001E-2</v>
      </c>
      <c r="E43" s="26"/>
      <c r="F43" s="26"/>
      <c r="G43" s="26"/>
      <c r="H43" s="26"/>
      <c r="I43" s="26"/>
      <c r="J43" s="26"/>
      <c r="K43" s="26"/>
      <c r="L43" s="26"/>
      <c r="M43" s="26"/>
      <c r="N43" s="26"/>
      <c r="O43" s="26"/>
      <c r="P43" s="26"/>
      <c r="Q43" s="26"/>
    </row>
    <row r="44" spans="1:17" ht="14" outlineLevel="3" x14ac:dyDescent="0.35">
      <c r="A44" s="211" t="s">
        <v>58</v>
      </c>
      <c r="B44" s="212">
        <f>SUM(B$45:B$47)</f>
        <v>0.10779524016</v>
      </c>
      <c r="C44" s="212">
        <f>SUM(C$45:C$47)</f>
        <v>4.4750116000000002</v>
      </c>
      <c r="D44" s="213">
        <f>SUM(D$45:D$47)</f>
        <v>6.38E-4</v>
      </c>
      <c r="E44" s="26"/>
      <c r="F44" s="26"/>
      <c r="G44" s="26"/>
      <c r="H44" s="26"/>
      <c r="I44" s="26"/>
      <c r="J44" s="26"/>
      <c r="K44" s="26"/>
      <c r="L44" s="26"/>
      <c r="M44" s="26"/>
      <c r="N44" s="26"/>
      <c r="O44" s="26"/>
      <c r="P44" s="26"/>
      <c r="Q44" s="26"/>
    </row>
    <row r="45" spans="1:17" outlineLevel="4" x14ac:dyDescent="0.3">
      <c r="A45" s="175" t="s">
        <v>138</v>
      </c>
      <c r="B45" s="176">
        <v>2.7942E-7</v>
      </c>
      <c r="C45" s="176">
        <v>1.1600000000000001E-5</v>
      </c>
      <c r="D45" s="198">
        <v>0</v>
      </c>
      <c r="E45" s="26"/>
      <c r="F45" s="26"/>
      <c r="G45" s="26"/>
      <c r="H45" s="26"/>
      <c r="I45" s="26"/>
      <c r="J45" s="26"/>
      <c r="K45" s="26"/>
      <c r="L45" s="26"/>
      <c r="M45" s="26"/>
      <c r="N45" s="26"/>
      <c r="O45" s="26"/>
      <c r="P45" s="26"/>
      <c r="Q45" s="26"/>
    </row>
    <row r="46" spans="1:17" outlineLevel="4" x14ac:dyDescent="0.3">
      <c r="A46" s="175" t="s">
        <v>139</v>
      </c>
      <c r="B46" s="176">
        <v>5.9618441979999999E-2</v>
      </c>
      <c r="C46" s="176">
        <v>2.4750000000000001</v>
      </c>
      <c r="D46" s="198">
        <v>3.5300000000000002E-4</v>
      </c>
      <c r="E46" s="26"/>
      <c r="F46" s="26"/>
      <c r="G46" s="26"/>
      <c r="H46" s="26"/>
      <c r="I46" s="26"/>
      <c r="J46" s="26"/>
      <c r="K46" s="26"/>
      <c r="L46" s="26"/>
      <c r="M46" s="26"/>
      <c r="N46" s="26"/>
      <c r="O46" s="26"/>
      <c r="P46" s="26"/>
      <c r="Q46" s="26"/>
    </row>
    <row r="47" spans="1:17" outlineLevel="4" x14ac:dyDescent="0.3">
      <c r="A47" s="175" t="s">
        <v>144</v>
      </c>
      <c r="B47" s="176">
        <v>4.8176518760000002E-2</v>
      </c>
      <c r="C47" s="176">
        <v>2</v>
      </c>
      <c r="D47" s="198">
        <v>2.8499999999999999E-4</v>
      </c>
      <c r="E47" s="26"/>
      <c r="F47" s="26"/>
      <c r="G47" s="26"/>
      <c r="H47" s="26"/>
      <c r="I47" s="26"/>
      <c r="J47" s="26"/>
      <c r="K47" s="26"/>
      <c r="L47" s="26"/>
      <c r="M47" s="26"/>
      <c r="N47" s="26"/>
      <c r="O47" s="26"/>
      <c r="P47" s="26"/>
      <c r="Q47" s="26"/>
    </row>
    <row r="48" spans="1:17" ht="14" outlineLevel="3" x14ac:dyDescent="0.35">
      <c r="A48" s="211" t="s">
        <v>93</v>
      </c>
      <c r="B48" s="212">
        <f>SUM(B$49:B$55)</f>
        <v>1.6550866093300001</v>
      </c>
      <c r="C48" s="212">
        <f>SUM(C$49:C$55)</f>
        <v>68.709265499920008</v>
      </c>
      <c r="D48" s="213">
        <f>SUM(D$49:D$55)</f>
        <v>9.7880000000000016E-3</v>
      </c>
      <c r="E48" s="26"/>
      <c r="F48" s="26"/>
      <c r="G48" s="26"/>
      <c r="H48" s="26"/>
      <c r="I48" s="26"/>
      <c r="J48" s="26"/>
      <c r="K48" s="26"/>
      <c r="L48" s="26"/>
      <c r="M48" s="26"/>
      <c r="N48" s="26"/>
      <c r="O48" s="26"/>
      <c r="P48" s="26"/>
      <c r="Q48" s="26"/>
    </row>
    <row r="49" spans="1:17" outlineLevel="4" x14ac:dyDescent="0.3">
      <c r="A49" s="175" t="s">
        <v>145</v>
      </c>
      <c r="B49" s="176">
        <v>7.8600606500000003E-2</v>
      </c>
      <c r="C49" s="176">
        <v>3.2630255785100002</v>
      </c>
      <c r="D49" s="198">
        <v>4.6500000000000003E-4</v>
      </c>
      <c r="E49" s="26"/>
      <c r="F49" s="26"/>
      <c r="G49" s="26"/>
      <c r="H49" s="26"/>
      <c r="I49" s="26"/>
      <c r="J49" s="26"/>
      <c r="K49" s="26"/>
      <c r="L49" s="26"/>
      <c r="M49" s="26"/>
      <c r="N49" s="26"/>
      <c r="O49" s="26"/>
      <c r="P49" s="26"/>
      <c r="Q49" s="26"/>
    </row>
    <row r="50" spans="1:17" outlineLevel="4" x14ac:dyDescent="0.3">
      <c r="A50" s="175" t="s">
        <v>146</v>
      </c>
      <c r="B50" s="176">
        <v>6.5000000199999996E-3</v>
      </c>
      <c r="C50" s="176">
        <v>0.26984100083000001</v>
      </c>
      <c r="D50" s="198">
        <v>3.8000000000000002E-5</v>
      </c>
      <c r="E50" s="26"/>
      <c r="F50" s="26"/>
      <c r="G50" s="26"/>
      <c r="H50" s="26"/>
      <c r="I50" s="26"/>
      <c r="J50" s="26"/>
      <c r="K50" s="26"/>
      <c r="L50" s="26"/>
      <c r="M50" s="26"/>
      <c r="N50" s="26"/>
      <c r="O50" s="26"/>
      <c r="P50" s="26"/>
      <c r="Q50" s="26"/>
    </row>
    <row r="51" spans="1:17" outlineLevel="4" x14ac:dyDescent="0.3">
      <c r="A51" s="175" t="s">
        <v>147</v>
      </c>
      <c r="B51" s="176">
        <v>0.40726282439</v>
      </c>
      <c r="C51" s="176">
        <v>16.907108891290001</v>
      </c>
      <c r="D51" s="198">
        <v>2.4090000000000001E-3</v>
      </c>
      <c r="E51" s="26"/>
      <c r="F51" s="26"/>
      <c r="G51" s="26"/>
      <c r="H51" s="26"/>
      <c r="I51" s="26"/>
      <c r="J51" s="26"/>
      <c r="K51" s="26"/>
      <c r="L51" s="26"/>
      <c r="M51" s="26"/>
      <c r="N51" s="26"/>
      <c r="O51" s="26"/>
      <c r="P51" s="26"/>
      <c r="Q51" s="26"/>
    </row>
    <row r="52" spans="1:17" outlineLevel="4" x14ac:dyDescent="0.3">
      <c r="A52" s="175" t="s">
        <v>148</v>
      </c>
      <c r="B52" s="176">
        <v>0.35514685483000002</v>
      </c>
      <c r="C52" s="176">
        <v>14.743566531360001</v>
      </c>
      <c r="D52" s="198">
        <v>2.0999999999999999E-3</v>
      </c>
      <c r="E52" s="26"/>
      <c r="F52" s="26"/>
      <c r="G52" s="26"/>
      <c r="H52" s="26"/>
      <c r="I52" s="26"/>
      <c r="J52" s="26"/>
      <c r="K52" s="26"/>
      <c r="L52" s="26"/>
      <c r="M52" s="26"/>
      <c r="N52" s="26"/>
      <c r="O52" s="26"/>
      <c r="P52" s="26"/>
      <c r="Q52" s="26"/>
    </row>
    <row r="53" spans="1:17" outlineLevel="4" x14ac:dyDescent="0.3">
      <c r="A53" s="175" t="s">
        <v>149</v>
      </c>
      <c r="B53" s="176">
        <v>1.489839456E-2</v>
      </c>
      <c r="C53" s="176">
        <v>0.61849195173000004</v>
      </c>
      <c r="D53" s="198">
        <v>8.7999999999999998E-5</v>
      </c>
      <c r="E53" s="26"/>
      <c r="F53" s="26"/>
      <c r="G53" s="26"/>
      <c r="H53" s="26"/>
      <c r="I53" s="26"/>
      <c r="J53" s="26"/>
      <c r="K53" s="26"/>
      <c r="L53" s="26"/>
      <c r="M53" s="26"/>
      <c r="N53" s="26"/>
      <c r="O53" s="26"/>
      <c r="P53" s="26"/>
      <c r="Q53" s="26"/>
    </row>
    <row r="54" spans="1:17" outlineLevel="4" x14ac:dyDescent="0.3">
      <c r="A54" s="175" t="s">
        <v>150</v>
      </c>
      <c r="B54" s="176">
        <v>6.9999999800000002E-3</v>
      </c>
      <c r="C54" s="176">
        <v>0.29059799917000001</v>
      </c>
      <c r="D54" s="198">
        <v>4.1E-5</v>
      </c>
      <c r="E54" s="26"/>
      <c r="F54" s="26"/>
      <c r="G54" s="26"/>
      <c r="H54" s="26"/>
      <c r="I54" s="26"/>
      <c r="J54" s="26"/>
      <c r="K54" s="26"/>
      <c r="L54" s="26"/>
      <c r="M54" s="26"/>
      <c r="N54" s="26"/>
      <c r="O54" s="26"/>
      <c r="P54" s="26"/>
      <c r="Q54" s="26"/>
    </row>
    <row r="55" spans="1:17" outlineLevel="4" x14ac:dyDescent="0.3">
      <c r="A55" s="175" t="s">
        <v>153</v>
      </c>
      <c r="B55" s="176">
        <v>0.78567792905</v>
      </c>
      <c r="C55" s="176">
        <v>32.616633547029998</v>
      </c>
      <c r="D55" s="198">
        <v>4.6470000000000001E-3</v>
      </c>
      <c r="E55" s="26"/>
      <c r="F55" s="26"/>
      <c r="G55" s="26"/>
      <c r="H55" s="26"/>
      <c r="I55" s="26"/>
      <c r="J55" s="26"/>
      <c r="K55" s="26"/>
      <c r="L55" s="26"/>
      <c r="M55" s="26"/>
      <c r="N55" s="26"/>
      <c r="O55" s="26"/>
      <c r="P55" s="26"/>
      <c r="Q55" s="26"/>
    </row>
    <row r="56" spans="1:17" ht="14" outlineLevel="3" x14ac:dyDescent="0.35">
      <c r="A56" s="211" t="s">
        <v>154</v>
      </c>
      <c r="B56" s="212">
        <f>SUM(B$57:B$57)</f>
        <v>2.2995859999999998E-5</v>
      </c>
      <c r="C56" s="212">
        <f>SUM(C$57:C$57)</f>
        <v>9.5465000000000003E-4</v>
      </c>
      <c r="D56" s="213">
        <f>SUM(D$57:D$57)</f>
        <v>0</v>
      </c>
      <c r="E56" s="26"/>
      <c r="F56" s="26"/>
      <c r="G56" s="26"/>
      <c r="H56" s="26"/>
      <c r="I56" s="26"/>
      <c r="J56" s="26"/>
      <c r="K56" s="26"/>
      <c r="L56" s="26"/>
      <c r="M56" s="26"/>
      <c r="N56" s="26"/>
      <c r="O56" s="26"/>
      <c r="P56" s="26"/>
      <c r="Q56" s="26"/>
    </row>
    <row r="57" spans="1:17" outlineLevel="4" x14ac:dyDescent="0.3">
      <c r="A57" s="175" t="s">
        <v>155</v>
      </c>
      <c r="B57" s="176">
        <v>2.2995859999999998E-5</v>
      </c>
      <c r="C57" s="176">
        <v>9.5465000000000003E-4</v>
      </c>
      <c r="D57" s="198">
        <v>0</v>
      </c>
      <c r="E57" s="26"/>
      <c r="F57" s="26"/>
      <c r="G57" s="26"/>
      <c r="H57" s="26"/>
      <c r="I57" s="26"/>
      <c r="J57" s="26"/>
      <c r="K57" s="26"/>
      <c r="L57" s="26"/>
      <c r="M57" s="26"/>
      <c r="N57" s="26"/>
      <c r="O57" s="26"/>
      <c r="P57" s="26"/>
      <c r="Q57" s="26"/>
    </row>
    <row r="58" spans="1:17" ht="14.5" outlineLevel="1" x14ac:dyDescent="0.35">
      <c r="A58" s="205" t="s">
        <v>95</v>
      </c>
      <c r="B58" s="206">
        <f>B$59+B$96</f>
        <v>123.01229285724</v>
      </c>
      <c r="C58" s="206">
        <f>C$59+C$96</f>
        <v>5106.7323256804602</v>
      </c>
      <c r="D58" s="207">
        <f>D$59+D$96</f>
        <v>0.7275029999999999</v>
      </c>
      <c r="E58" s="26"/>
      <c r="F58" s="26"/>
      <c r="G58" s="26"/>
      <c r="H58" s="26"/>
      <c r="I58" s="26"/>
      <c r="J58" s="26"/>
      <c r="K58" s="26"/>
      <c r="L58" s="26"/>
      <c r="M58" s="26"/>
      <c r="N58" s="26"/>
      <c r="O58" s="26"/>
      <c r="P58" s="26"/>
      <c r="Q58" s="26"/>
    </row>
    <row r="59" spans="1:17" ht="14.5" outlineLevel="2" x14ac:dyDescent="0.35">
      <c r="A59" s="202" t="s">
        <v>1</v>
      </c>
      <c r="B59" s="203">
        <f>B$60+B$70+B$81+B$83+B$90+B$92+B$94</f>
        <v>118.04561254281001</v>
      </c>
      <c r="C59" s="203">
        <f>C$60+C$70+C$81+C$83+C$90+C$92+C$94</f>
        <v>4900.5455591074806</v>
      </c>
      <c r="D59" s="204">
        <f>D$60+D$70+D$81+D$83+D$90+D$92+D$94</f>
        <v>0.69812999999999992</v>
      </c>
      <c r="E59" s="26"/>
      <c r="F59" s="26"/>
      <c r="G59" s="26"/>
      <c r="H59" s="26"/>
      <c r="I59" s="26"/>
      <c r="J59" s="26"/>
      <c r="K59" s="26"/>
      <c r="L59" s="26"/>
      <c r="M59" s="26"/>
      <c r="N59" s="26"/>
      <c r="O59" s="26"/>
      <c r="P59" s="26"/>
      <c r="Q59" s="26"/>
    </row>
    <row r="60" spans="1:17" ht="14" outlineLevel="3" x14ac:dyDescent="0.35">
      <c r="A60" s="211" t="s">
        <v>96</v>
      </c>
      <c r="B60" s="212">
        <f>SUM(B$61:B$69)</f>
        <v>85.946924079140004</v>
      </c>
      <c r="C60" s="212">
        <f>SUM(C$61:C$69)</f>
        <v>3568.0006062255402</v>
      </c>
      <c r="D60" s="213">
        <f>SUM(D$61:D$69)</f>
        <v>0.508297</v>
      </c>
      <c r="E60" s="26"/>
      <c r="F60" s="26"/>
      <c r="G60" s="26"/>
      <c r="H60" s="26"/>
      <c r="I60" s="26"/>
      <c r="J60" s="26"/>
      <c r="K60" s="26"/>
      <c r="L60" s="26"/>
      <c r="M60" s="26"/>
      <c r="N60" s="26"/>
      <c r="O60" s="26"/>
      <c r="P60" s="26"/>
      <c r="Q60" s="26"/>
    </row>
    <row r="61" spans="1:17" outlineLevel="4" x14ac:dyDescent="0.3">
      <c r="A61" s="175" t="s">
        <v>97</v>
      </c>
      <c r="B61" s="176">
        <v>1.1492941309999999E-2</v>
      </c>
      <c r="C61" s="176">
        <v>0.47711796561000003</v>
      </c>
      <c r="D61" s="198">
        <v>6.7999999999999999E-5</v>
      </c>
      <c r="E61" s="26"/>
      <c r="F61" s="26"/>
      <c r="G61" s="26"/>
      <c r="H61" s="26"/>
      <c r="I61" s="26"/>
      <c r="J61" s="26"/>
      <c r="K61" s="26"/>
      <c r="L61" s="26"/>
      <c r="M61" s="26"/>
      <c r="N61" s="26"/>
      <c r="O61" s="26"/>
      <c r="P61" s="26"/>
      <c r="Q61" s="26"/>
    </row>
    <row r="62" spans="1:17" outlineLevel="4" x14ac:dyDescent="0.3">
      <c r="A62" s="175" t="s">
        <v>98</v>
      </c>
      <c r="B62" s="176">
        <v>0.12351383991999999</v>
      </c>
      <c r="C62" s="176">
        <v>5.1275535505200001</v>
      </c>
      <c r="D62" s="198">
        <v>7.2999999999999996E-4</v>
      </c>
      <c r="E62" s="26"/>
      <c r="F62" s="26"/>
      <c r="G62" s="26"/>
      <c r="H62" s="26"/>
      <c r="I62" s="26"/>
      <c r="J62" s="26"/>
      <c r="K62" s="26"/>
      <c r="L62" s="26"/>
      <c r="M62" s="26"/>
      <c r="N62" s="26"/>
      <c r="O62" s="26"/>
      <c r="P62" s="26"/>
      <c r="Q62" s="26"/>
    </row>
    <row r="63" spans="1:17" outlineLevel="4" x14ac:dyDescent="0.3">
      <c r="A63" s="175" t="s">
        <v>99</v>
      </c>
      <c r="B63" s="176">
        <v>0.10309589916</v>
      </c>
      <c r="C63" s="176">
        <v>4.2799231578799999</v>
      </c>
      <c r="D63" s="198">
        <v>6.0999999999999997E-4</v>
      </c>
      <c r="E63" s="26"/>
      <c r="F63" s="26"/>
      <c r="G63" s="26"/>
      <c r="H63" s="26"/>
      <c r="I63" s="26"/>
      <c r="J63" s="26"/>
      <c r="K63" s="26"/>
      <c r="L63" s="26"/>
      <c r="M63" s="26"/>
      <c r="N63" s="26"/>
      <c r="O63" s="26"/>
      <c r="P63" s="26"/>
      <c r="Q63" s="26"/>
    </row>
    <row r="64" spans="1:17" outlineLevel="4" x14ac:dyDescent="0.3">
      <c r="A64" s="175" t="s">
        <v>100</v>
      </c>
      <c r="B64" s="176">
        <v>2.9481677742899999</v>
      </c>
      <c r="C64" s="176">
        <v>122.39023698254999</v>
      </c>
      <c r="D64" s="198">
        <v>1.7436E-2</v>
      </c>
      <c r="E64" s="26"/>
      <c r="F64" s="26"/>
      <c r="G64" s="26"/>
      <c r="H64" s="26"/>
      <c r="I64" s="26"/>
      <c r="J64" s="26"/>
      <c r="K64" s="26"/>
      <c r="L64" s="26"/>
      <c r="M64" s="26"/>
      <c r="N64" s="26"/>
      <c r="O64" s="26"/>
      <c r="P64" s="26"/>
      <c r="Q64" s="26"/>
    </row>
    <row r="65" spans="1:17" outlineLevel="4" x14ac:dyDescent="0.3">
      <c r="A65" s="175" t="s">
        <v>101</v>
      </c>
      <c r="B65" s="176">
        <v>47.273798653260002</v>
      </c>
      <c r="C65" s="176">
        <v>1962.5244772937201</v>
      </c>
      <c r="D65" s="198">
        <v>0.27958</v>
      </c>
      <c r="E65" s="26"/>
      <c r="F65" s="26"/>
      <c r="G65" s="26"/>
      <c r="H65" s="26"/>
      <c r="I65" s="26"/>
      <c r="J65" s="26"/>
      <c r="K65" s="26"/>
      <c r="L65" s="26"/>
      <c r="M65" s="26"/>
      <c r="N65" s="26"/>
      <c r="O65" s="26"/>
      <c r="P65" s="26"/>
      <c r="Q65" s="26"/>
    </row>
    <row r="66" spans="1:17" outlineLevel="4" x14ac:dyDescent="0.3">
      <c r="A66" s="175" t="s">
        <v>102</v>
      </c>
      <c r="B66" s="176">
        <v>5.7927417747199996</v>
      </c>
      <c r="C66" s="176">
        <v>240.47988203592999</v>
      </c>
      <c r="D66" s="198">
        <v>3.4258999999999998E-2</v>
      </c>
      <c r="E66" s="26"/>
      <c r="F66" s="26"/>
      <c r="G66" s="26"/>
      <c r="H66" s="26"/>
      <c r="I66" s="26"/>
      <c r="J66" s="26"/>
      <c r="K66" s="26"/>
      <c r="L66" s="26"/>
      <c r="M66" s="26"/>
      <c r="N66" s="26"/>
      <c r="O66" s="26"/>
      <c r="P66" s="26"/>
      <c r="Q66" s="26"/>
    </row>
    <row r="67" spans="1:17" outlineLevel="4" x14ac:dyDescent="0.3">
      <c r="A67" s="175" t="s">
        <v>103</v>
      </c>
      <c r="B67" s="176">
        <v>16.06466800155</v>
      </c>
      <c r="C67" s="176">
        <v>666.90862741633998</v>
      </c>
      <c r="D67" s="198">
        <v>9.5007999999999995E-2</v>
      </c>
      <c r="E67" s="26"/>
      <c r="F67" s="26"/>
      <c r="G67" s="26"/>
      <c r="H67" s="26"/>
      <c r="I67" s="26"/>
      <c r="J67" s="26"/>
      <c r="K67" s="26"/>
      <c r="L67" s="26"/>
      <c r="M67" s="26"/>
      <c r="N67" s="26"/>
      <c r="O67" s="26"/>
      <c r="P67" s="26"/>
      <c r="Q67" s="26"/>
    </row>
    <row r="68" spans="1:17" outlineLevel="4" x14ac:dyDescent="0.3">
      <c r="A68" s="175" t="s">
        <v>104</v>
      </c>
      <c r="B68" s="176">
        <v>13.518056602030001</v>
      </c>
      <c r="C68" s="176">
        <v>561.18860177733995</v>
      </c>
      <c r="D68" s="198">
        <v>7.9947000000000004E-2</v>
      </c>
      <c r="E68" s="26"/>
      <c r="F68" s="26"/>
      <c r="G68" s="26"/>
      <c r="H68" s="26"/>
      <c r="I68" s="26"/>
      <c r="J68" s="26"/>
      <c r="K68" s="26"/>
      <c r="L68" s="26"/>
      <c r="M68" s="26"/>
      <c r="N68" s="26"/>
      <c r="O68" s="26"/>
      <c r="P68" s="26"/>
      <c r="Q68" s="26"/>
    </row>
    <row r="69" spans="1:17" outlineLevel="4" x14ac:dyDescent="0.3">
      <c r="A69" s="175" t="s">
        <v>105</v>
      </c>
      <c r="B69" s="176">
        <v>0.1113885929</v>
      </c>
      <c r="C69" s="176">
        <v>4.6241860456500001</v>
      </c>
      <c r="D69" s="198">
        <v>6.5899999999999997E-4</v>
      </c>
      <c r="E69" s="26"/>
      <c r="F69" s="26"/>
      <c r="G69" s="26"/>
      <c r="H69" s="26"/>
      <c r="I69" s="26"/>
      <c r="J69" s="26"/>
      <c r="K69" s="26"/>
      <c r="L69" s="26"/>
      <c r="M69" s="26"/>
      <c r="N69" s="26"/>
      <c r="O69" s="26"/>
      <c r="P69" s="26"/>
      <c r="Q69" s="26"/>
    </row>
    <row r="70" spans="1:17" ht="14" outlineLevel="3" x14ac:dyDescent="0.35">
      <c r="A70" s="211" t="s">
        <v>106</v>
      </c>
      <c r="B70" s="212">
        <f>SUM(B$71:B$80)</f>
        <v>7.6909776344599985</v>
      </c>
      <c r="C70" s="212">
        <f>SUM(C$71:C$80)</f>
        <v>319.28324551754002</v>
      </c>
      <c r="D70" s="213">
        <f>SUM(D$71:D$80)</f>
        <v>4.5483999999999997E-2</v>
      </c>
      <c r="E70" s="26"/>
      <c r="F70" s="26"/>
      <c r="G70" s="26"/>
      <c r="H70" s="26"/>
      <c r="I70" s="26"/>
      <c r="J70" s="26"/>
      <c r="K70" s="26"/>
      <c r="L70" s="26"/>
      <c r="M70" s="26"/>
      <c r="N70" s="26"/>
      <c r="O70" s="26"/>
      <c r="P70" s="26"/>
      <c r="Q70" s="26"/>
    </row>
    <row r="71" spans="1:17" outlineLevel="4" x14ac:dyDescent="0.3">
      <c r="A71" s="175" t="s">
        <v>107</v>
      </c>
      <c r="B71" s="176">
        <v>2.401513777E-2</v>
      </c>
      <c r="C71" s="176">
        <v>0.99696442919999995</v>
      </c>
      <c r="D71" s="198">
        <v>1.4200000000000001E-4</v>
      </c>
      <c r="E71" s="26"/>
      <c r="F71" s="26"/>
      <c r="G71" s="26"/>
      <c r="H71" s="26"/>
      <c r="I71" s="26"/>
      <c r="J71" s="26"/>
      <c r="K71" s="26"/>
      <c r="L71" s="26"/>
      <c r="M71" s="26"/>
      <c r="N71" s="26"/>
      <c r="O71" s="26"/>
      <c r="P71" s="26"/>
      <c r="Q71" s="26"/>
    </row>
    <row r="72" spans="1:17" outlineLevel="4" x14ac:dyDescent="0.3">
      <c r="A72" s="175" t="s">
        <v>108</v>
      </c>
      <c r="B72" s="176">
        <v>0.20953991424999999</v>
      </c>
      <c r="C72" s="176">
        <v>8.6988400000000006</v>
      </c>
      <c r="D72" s="198">
        <v>1.2390000000000001E-3</v>
      </c>
      <c r="E72" s="26"/>
      <c r="F72" s="26"/>
      <c r="G72" s="26"/>
      <c r="H72" s="26"/>
      <c r="I72" s="26"/>
      <c r="J72" s="26"/>
      <c r="K72" s="26"/>
      <c r="L72" s="26"/>
      <c r="M72" s="26"/>
      <c r="N72" s="26"/>
      <c r="O72" s="26"/>
      <c r="P72" s="26"/>
      <c r="Q72" s="26"/>
    </row>
    <row r="73" spans="1:17" outlineLevel="4" x14ac:dyDescent="0.3">
      <c r="A73" s="175" t="s">
        <v>109</v>
      </c>
      <c r="B73" s="176">
        <v>5.0945019915599996</v>
      </c>
      <c r="C73" s="176">
        <v>211.49315567745001</v>
      </c>
      <c r="D73" s="198">
        <v>3.0129E-2</v>
      </c>
      <c r="E73" s="26"/>
      <c r="F73" s="26"/>
      <c r="G73" s="26"/>
      <c r="H73" s="26"/>
      <c r="I73" s="26"/>
      <c r="J73" s="26"/>
      <c r="K73" s="26"/>
      <c r="L73" s="26"/>
      <c r="M73" s="26"/>
      <c r="N73" s="26"/>
      <c r="O73" s="26"/>
      <c r="P73" s="26"/>
      <c r="Q73" s="26"/>
    </row>
    <row r="74" spans="1:17" outlineLevel="4" x14ac:dyDescent="0.3">
      <c r="A74" s="175" t="s">
        <v>110</v>
      </c>
      <c r="B74" s="176">
        <v>0.20953991424999999</v>
      </c>
      <c r="C74" s="176">
        <v>8.6988400000000006</v>
      </c>
      <c r="D74" s="198">
        <v>1.2390000000000001E-3</v>
      </c>
      <c r="E74" s="26"/>
      <c r="F74" s="26"/>
      <c r="G74" s="26"/>
      <c r="H74" s="26"/>
      <c r="I74" s="26"/>
      <c r="J74" s="26"/>
      <c r="K74" s="26"/>
      <c r="L74" s="26"/>
      <c r="M74" s="26"/>
      <c r="N74" s="26"/>
      <c r="O74" s="26"/>
      <c r="P74" s="26"/>
      <c r="Q74" s="26"/>
    </row>
    <row r="75" spans="1:17" outlineLevel="4" x14ac:dyDescent="0.3">
      <c r="A75" s="175" t="s">
        <v>111</v>
      </c>
      <c r="B75" s="176">
        <v>0.59096369179999997</v>
      </c>
      <c r="C75" s="176">
        <v>24.533266701790001</v>
      </c>
      <c r="D75" s="198">
        <v>3.4949999999999998E-3</v>
      </c>
      <c r="E75" s="26"/>
      <c r="F75" s="26"/>
      <c r="G75" s="26"/>
      <c r="H75" s="26"/>
      <c r="I75" s="26"/>
      <c r="J75" s="26"/>
      <c r="K75" s="26"/>
      <c r="L75" s="26"/>
      <c r="M75" s="26"/>
      <c r="N75" s="26"/>
      <c r="O75" s="26"/>
      <c r="P75" s="26"/>
      <c r="Q75" s="26"/>
    </row>
    <row r="76" spans="1:17" outlineLevel="4" x14ac:dyDescent="0.3">
      <c r="A76" s="175" t="s">
        <v>112</v>
      </c>
      <c r="B76" s="176">
        <v>0.10405983548</v>
      </c>
      <c r="C76" s="176">
        <v>4.3199400100699998</v>
      </c>
      <c r="D76" s="198">
        <v>6.1499999999999999E-4</v>
      </c>
      <c r="E76" s="26"/>
      <c r="F76" s="26"/>
      <c r="G76" s="26"/>
      <c r="H76" s="26"/>
      <c r="I76" s="26"/>
      <c r="J76" s="26"/>
      <c r="K76" s="26"/>
      <c r="L76" s="26"/>
      <c r="M76" s="26"/>
      <c r="N76" s="26"/>
      <c r="O76" s="26"/>
      <c r="P76" s="26"/>
      <c r="Q76" s="26"/>
    </row>
    <row r="77" spans="1:17" outlineLevel="4" x14ac:dyDescent="0.3">
      <c r="A77" s="175" t="s">
        <v>113</v>
      </c>
      <c r="B77" s="176">
        <v>0.1</v>
      </c>
      <c r="C77" s="176">
        <v>4.1513999999999998</v>
      </c>
      <c r="D77" s="198">
        <v>5.9100000000000005E-4</v>
      </c>
      <c r="E77" s="26"/>
      <c r="F77" s="26"/>
      <c r="G77" s="26"/>
      <c r="H77" s="26"/>
      <c r="I77" s="26"/>
      <c r="J77" s="26"/>
      <c r="K77" s="26"/>
      <c r="L77" s="26"/>
      <c r="M77" s="26"/>
      <c r="N77" s="26"/>
      <c r="O77" s="26"/>
      <c r="P77" s="26"/>
      <c r="Q77" s="26"/>
    </row>
    <row r="78" spans="1:17" outlineLevel="4" x14ac:dyDescent="0.3">
      <c r="A78" s="175" t="s">
        <v>114</v>
      </c>
      <c r="B78" s="176">
        <v>5.1251526E-4</v>
      </c>
      <c r="C78" s="176">
        <v>2.1276558500000001E-2</v>
      </c>
      <c r="D78" s="198">
        <v>3.0000000000000001E-6</v>
      </c>
      <c r="E78" s="26"/>
      <c r="F78" s="26"/>
      <c r="G78" s="26"/>
      <c r="H78" s="26"/>
      <c r="I78" s="26"/>
      <c r="J78" s="26"/>
      <c r="K78" s="26"/>
      <c r="L78" s="26"/>
      <c r="M78" s="26"/>
      <c r="N78" s="26"/>
      <c r="O78" s="26"/>
      <c r="P78" s="26"/>
      <c r="Q78" s="26"/>
    </row>
    <row r="79" spans="1:17" outlineLevel="4" x14ac:dyDescent="0.3">
      <c r="A79" s="175" t="s">
        <v>115</v>
      </c>
      <c r="B79" s="176">
        <v>0.46630740122999997</v>
      </c>
      <c r="C79" s="176">
        <v>19.35828545499</v>
      </c>
      <c r="D79" s="198">
        <v>2.758E-3</v>
      </c>
      <c r="E79" s="26"/>
      <c r="F79" s="26"/>
      <c r="G79" s="26"/>
      <c r="H79" s="26"/>
      <c r="I79" s="26"/>
      <c r="J79" s="26"/>
      <c r="K79" s="26"/>
      <c r="L79" s="26"/>
      <c r="M79" s="26"/>
      <c r="N79" s="26"/>
      <c r="O79" s="26"/>
      <c r="P79" s="26"/>
      <c r="Q79" s="26"/>
    </row>
    <row r="80" spans="1:17" outlineLevel="4" x14ac:dyDescent="0.3">
      <c r="A80" s="175" t="s">
        <v>116</v>
      </c>
      <c r="B80" s="176">
        <v>0.89153723285999997</v>
      </c>
      <c r="C80" s="176">
        <v>37.011276685539997</v>
      </c>
      <c r="D80" s="198">
        <v>5.2729999999999999E-3</v>
      </c>
      <c r="E80" s="26"/>
      <c r="F80" s="26"/>
      <c r="G80" s="26"/>
      <c r="H80" s="26"/>
      <c r="I80" s="26"/>
      <c r="J80" s="26"/>
      <c r="K80" s="26"/>
      <c r="L80" s="26"/>
      <c r="M80" s="26"/>
      <c r="N80" s="26"/>
      <c r="O80" s="26"/>
      <c r="P80" s="26"/>
      <c r="Q80" s="26"/>
    </row>
    <row r="81" spans="1:17" ht="14" outlineLevel="3" x14ac:dyDescent="0.35">
      <c r="A81" s="211" t="s">
        <v>117</v>
      </c>
      <c r="B81" s="212">
        <f>SUM(B$82:B$82)</f>
        <v>0.60585586000000002</v>
      </c>
      <c r="C81" s="212">
        <f>SUM(C$82:C$82)</f>
        <v>25.151500172039999</v>
      </c>
      <c r="D81" s="213">
        <f>SUM(D$82:D$82)</f>
        <v>3.5829999999999998E-3</v>
      </c>
      <c r="E81" s="26"/>
      <c r="F81" s="26"/>
      <c r="G81" s="26"/>
      <c r="H81" s="26"/>
      <c r="I81" s="26"/>
      <c r="J81" s="26"/>
      <c r="K81" s="26"/>
      <c r="L81" s="26"/>
      <c r="M81" s="26"/>
      <c r="N81" s="26"/>
      <c r="O81" s="26"/>
      <c r="P81" s="26"/>
      <c r="Q81" s="26"/>
    </row>
    <row r="82" spans="1:17" outlineLevel="4" x14ac:dyDescent="0.3">
      <c r="A82" s="175" t="s">
        <v>118</v>
      </c>
      <c r="B82" s="176">
        <v>0.60585586000000002</v>
      </c>
      <c r="C82" s="176">
        <v>25.151500172039999</v>
      </c>
      <c r="D82" s="198">
        <v>3.5829999999999998E-3</v>
      </c>
      <c r="E82" s="26"/>
      <c r="F82" s="26"/>
      <c r="G82" s="26"/>
      <c r="H82" s="26"/>
      <c r="I82" s="26"/>
      <c r="J82" s="26"/>
      <c r="K82" s="26"/>
      <c r="L82" s="26"/>
      <c r="M82" s="26"/>
      <c r="N82" s="26"/>
      <c r="O82" s="26"/>
      <c r="P82" s="26"/>
      <c r="Q82" s="26"/>
    </row>
    <row r="83" spans="1:17" ht="14" outlineLevel="3" x14ac:dyDescent="0.35">
      <c r="A83" s="211" t="s">
        <v>119</v>
      </c>
      <c r="B83" s="212">
        <f>SUM(B$84:B$89)</f>
        <v>1.45118764899</v>
      </c>
      <c r="C83" s="212">
        <f>SUM(C$84:C$89)</f>
        <v>60.24460406064</v>
      </c>
      <c r="D83" s="213">
        <f>SUM(D$84:D$89)</f>
        <v>8.5830000000000004E-3</v>
      </c>
      <c r="E83" s="26"/>
      <c r="F83" s="26"/>
      <c r="G83" s="26"/>
      <c r="H83" s="26"/>
      <c r="I83" s="26"/>
      <c r="J83" s="26"/>
      <c r="K83" s="26"/>
      <c r="L83" s="26"/>
      <c r="M83" s="26"/>
      <c r="N83" s="26"/>
      <c r="O83" s="26"/>
      <c r="P83" s="26"/>
      <c r="Q83" s="26"/>
    </row>
    <row r="84" spans="1:17" outlineLevel="4" x14ac:dyDescent="0.3">
      <c r="A84" s="175" t="s">
        <v>120</v>
      </c>
      <c r="B84" s="176">
        <v>0.68100472127</v>
      </c>
      <c r="C84" s="176">
        <v>28.271229999999999</v>
      </c>
      <c r="D84" s="198">
        <v>4.0280000000000003E-3</v>
      </c>
      <c r="E84" s="26"/>
      <c r="F84" s="26"/>
      <c r="G84" s="26"/>
      <c r="H84" s="26"/>
      <c r="I84" s="26"/>
      <c r="J84" s="26"/>
      <c r="K84" s="26"/>
      <c r="L84" s="26"/>
      <c r="M84" s="26"/>
      <c r="N84" s="26"/>
      <c r="O84" s="26"/>
      <c r="P84" s="26"/>
      <c r="Q84" s="26"/>
    </row>
    <row r="85" spans="1:17" outlineLevel="4" x14ac:dyDescent="0.3">
      <c r="A85" s="175" t="s">
        <v>121</v>
      </c>
      <c r="B85" s="176">
        <v>5.3568040000000002E-5</v>
      </c>
      <c r="C85" s="176">
        <v>2.2238236500000002E-3</v>
      </c>
      <c r="D85" s="198">
        <v>0</v>
      </c>
      <c r="E85" s="26"/>
      <c r="F85" s="26"/>
      <c r="G85" s="26"/>
      <c r="H85" s="26"/>
      <c r="I85" s="26"/>
      <c r="J85" s="26"/>
      <c r="K85" s="26"/>
      <c r="L85" s="26"/>
      <c r="M85" s="26"/>
      <c r="N85" s="26"/>
      <c r="O85" s="26"/>
      <c r="P85" s="26"/>
      <c r="Q85" s="26"/>
    </row>
    <row r="86" spans="1:17" outlineLevel="4" x14ac:dyDescent="0.3">
      <c r="A86" s="175" t="s">
        <v>122</v>
      </c>
      <c r="B86" s="176">
        <v>6.7266123600000002E-3</v>
      </c>
      <c r="C86" s="176">
        <v>0.27924858544999998</v>
      </c>
      <c r="D86" s="198">
        <v>4.0000000000000003E-5</v>
      </c>
      <c r="E86" s="26"/>
      <c r="F86" s="26"/>
      <c r="G86" s="26"/>
      <c r="H86" s="26"/>
      <c r="I86" s="26"/>
      <c r="J86" s="26"/>
      <c r="K86" s="26"/>
      <c r="L86" s="26"/>
      <c r="M86" s="26"/>
      <c r="N86" s="26"/>
      <c r="O86" s="26"/>
      <c r="P86" s="26"/>
      <c r="Q86" s="26"/>
    </row>
    <row r="87" spans="1:17" outlineLevel="4" x14ac:dyDescent="0.3">
      <c r="A87" s="175" t="s">
        <v>123</v>
      </c>
      <c r="B87" s="176">
        <v>0.18669896827999999</v>
      </c>
      <c r="C87" s="176">
        <v>7.7506209689899999</v>
      </c>
      <c r="D87" s="198">
        <v>1.1039999999999999E-3</v>
      </c>
      <c r="E87" s="26"/>
      <c r="F87" s="26"/>
      <c r="G87" s="26"/>
      <c r="H87" s="26"/>
      <c r="I87" s="26"/>
      <c r="J87" s="26"/>
      <c r="K87" s="26"/>
      <c r="L87" s="26"/>
      <c r="M87" s="26"/>
      <c r="N87" s="26"/>
      <c r="O87" s="26"/>
      <c r="P87" s="26"/>
      <c r="Q87" s="26"/>
    </row>
    <row r="88" spans="1:17" outlineLevel="4" x14ac:dyDescent="0.3">
      <c r="A88" s="175" t="s">
        <v>124</v>
      </c>
      <c r="B88" s="176">
        <v>0.40870868744</v>
      </c>
      <c r="C88" s="176">
        <v>16.967132449979999</v>
      </c>
      <c r="D88" s="198">
        <v>2.4169999999999999E-3</v>
      </c>
      <c r="E88" s="26"/>
      <c r="F88" s="26"/>
      <c r="G88" s="26"/>
      <c r="H88" s="26"/>
      <c r="I88" s="26"/>
      <c r="J88" s="26"/>
      <c r="K88" s="26"/>
      <c r="L88" s="26"/>
      <c r="M88" s="26"/>
      <c r="N88" s="26"/>
      <c r="O88" s="26"/>
      <c r="P88" s="26"/>
      <c r="Q88" s="26"/>
    </row>
    <row r="89" spans="1:17" outlineLevel="4" x14ac:dyDescent="0.3">
      <c r="A89" s="175" t="s">
        <v>125</v>
      </c>
      <c r="B89" s="176">
        <v>0.16799509160000001</v>
      </c>
      <c r="C89" s="176">
        <v>6.9741482325700002</v>
      </c>
      <c r="D89" s="198">
        <v>9.9400000000000009E-4</v>
      </c>
      <c r="E89" s="26"/>
      <c r="F89" s="26"/>
      <c r="G89" s="26"/>
      <c r="H89" s="26"/>
      <c r="I89" s="26"/>
      <c r="J89" s="26"/>
      <c r="K89" s="26"/>
      <c r="L89" s="26"/>
      <c r="M89" s="26"/>
      <c r="N89" s="26"/>
      <c r="O89" s="26"/>
      <c r="P89" s="26"/>
      <c r="Q89" s="26"/>
    </row>
    <row r="90" spans="1:17" ht="14" outlineLevel="3" x14ac:dyDescent="0.35">
      <c r="A90" s="211" t="s">
        <v>126</v>
      </c>
      <c r="B90" s="212">
        <f>SUM(B$91:B$91)</f>
        <v>15.219165084</v>
      </c>
      <c r="C90" s="212">
        <f>SUM(C$91:C$91)</f>
        <v>631.80841929718997</v>
      </c>
      <c r="D90" s="213">
        <f>SUM(D$91:D$91)</f>
        <v>9.0007000000000004E-2</v>
      </c>
      <c r="E90" s="26"/>
      <c r="F90" s="26"/>
      <c r="G90" s="26"/>
      <c r="H90" s="26"/>
      <c r="I90" s="26"/>
      <c r="J90" s="26"/>
      <c r="K90" s="26"/>
      <c r="L90" s="26"/>
      <c r="M90" s="26"/>
      <c r="N90" s="26"/>
      <c r="O90" s="26"/>
      <c r="P90" s="26"/>
      <c r="Q90" s="26"/>
    </row>
    <row r="91" spans="1:17" outlineLevel="4" x14ac:dyDescent="0.3">
      <c r="A91" s="175" t="s">
        <v>134</v>
      </c>
      <c r="B91" s="176">
        <v>15.219165084</v>
      </c>
      <c r="C91" s="176">
        <v>631.80841929718997</v>
      </c>
      <c r="D91" s="198">
        <v>9.0007000000000004E-2</v>
      </c>
      <c r="E91" s="26"/>
      <c r="F91" s="26"/>
      <c r="G91" s="26"/>
      <c r="H91" s="26"/>
      <c r="I91" s="26"/>
      <c r="J91" s="26"/>
      <c r="K91" s="26"/>
      <c r="L91" s="26"/>
      <c r="M91" s="26"/>
      <c r="N91" s="26"/>
      <c r="O91" s="26"/>
      <c r="P91" s="26"/>
      <c r="Q91" s="26"/>
    </row>
    <row r="92" spans="1:17" ht="14" outlineLevel="3" x14ac:dyDescent="0.35">
      <c r="A92" s="211" t="s">
        <v>135</v>
      </c>
      <c r="B92" s="212">
        <f>SUM(B$93:B$93)</f>
        <v>3</v>
      </c>
      <c r="C92" s="212">
        <f>SUM(C$93:C$93)</f>
        <v>124.542</v>
      </c>
      <c r="D92" s="213">
        <f>SUM(D$93:D$93)</f>
        <v>1.7742000000000001E-2</v>
      </c>
      <c r="E92" s="26"/>
      <c r="F92" s="26"/>
      <c r="G92" s="26"/>
      <c r="H92" s="26"/>
      <c r="I92" s="26"/>
      <c r="J92" s="26"/>
      <c r="K92" s="26"/>
      <c r="L92" s="26"/>
      <c r="M92" s="26"/>
      <c r="N92" s="26"/>
      <c r="O92" s="26"/>
      <c r="P92" s="26"/>
      <c r="Q92" s="26"/>
    </row>
    <row r="93" spans="1:17" outlineLevel="4" x14ac:dyDescent="0.3">
      <c r="A93" s="175" t="s">
        <v>136</v>
      </c>
      <c r="B93" s="176">
        <v>3</v>
      </c>
      <c r="C93" s="176">
        <v>124.542</v>
      </c>
      <c r="D93" s="198">
        <v>1.7742000000000001E-2</v>
      </c>
      <c r="E93" s="26"/>
      <c r="F93" s="26"/>
      <c r="G93" s="26"/>
      <c r="H93" s="26"/>
      <c r="I93" s="26"/>
      <c r="J93" s="26"/>
      <c r="K93" s="26"/>
      <c r="L93" s="26"/>
      <c r="M93" s="26"/>
      <c r="N93" s="26"/>
      <c r="O93" s="26"/>
      <c r="P93" s="26"/>
      <c r="Q93" s="26"/>
    </row>
    <row r="94" spans="1:17" ht="14" outlineLevel="3" x14ac:dyDescent="0.35">
      <c r="A94" s="211" t="s">
        <v>137</v>
      </c>
      <c r="B94" s="212">
        <f>SUM(B$95:B$95)</f>
        <v>4.1315022362200002</v>
      </c>
      <c r="C94" s="212">
        <f>SUM(C$95:C$95)</f>
        <v>171.51518383453001</v>
      </c>
      <c r="D94" s="213">
        <f>SUM(D$95:D$95)</f>
        <v>2.4434000000000001E-2</v>
      </c>
      <c r="E94" s="26"/>
      <c r="F94" s="26"/>
      <c r="G94" s="26"/>
      <c r="H94" s="26"/>
      <c r="I94" s="26"/>
      <c r="J94" s="26"/>
      <c r="K94" s="26"/>
      <c r="L94" s="26"/>
      <c r="M94" s="26"/>
      <c r="N94" s="26"/>
      <c r="O94" s="26"/>
      <c r="P94" s="26"/>
      <c r="Q94" s="26"/>
    </row>
    <row r="95" spans="1:17" outlineLevel="4" x14ac:dyDescent="0.3">
      <c r="A95" s="175" t="s">
        <v>104</v>
      </c>
      <c r="B95" s="176">
        <v>4.1315022362200002</v>
      </c>
      <c r="C95" s="176">
        <v>171.51518383453001</v>
      </c>
      <c r="D95" s="198">
        <v>2.4434000000000001E-2</v>
      </c>
      <c r="E95" s="26"/>
      <c r="F95" s="26"/>
      <c r="G95" s="26"/>
      <c r="H95" s="26"/>
      <c r="I95" s="26"/>
      <c r="J95" s="26"/>
      <c r="K95" s="26"/>
      <c r="L95" s="26"/>
      <c r="M95" s="26"/>
      <c r="N95" s="26"/>
      <c r="O95" s="26"/>
      <c r="P95" s="26"/>
      <c r="Q95" s="26"/>
    </row>
    <row r="96" spans="1:17" ht="14.5" outlineLevel="2" x14ac:dyDescent="0.35">
      <c r="A96" s="202" t="s">
        <v>2</v>
      </c>
      <c r="B96" s="203">
        <f>B$97+B$104+B$107+B$109+B$111</f>
        <v>4.9666803144300005</v>
      </c>
      <c r="C96" s="203">
        <f>C$97+C$104+C$107+C$109+C$111</f>
        <v>206.18676657297999</v>
      </c>
      <c r="D96" s="204">
        <f>D$97+D$104+D$107+D$109+D$111</f>
        <v>2.9372999999999996E-2</v>
      </c>
      <c r="E96" s="26"/>
      <c r="F96" s="26"/>
      <c r="G96" s="26"/>
      <c r="H96" s="26"/>
      <c r="I96" s="26"/>
      <c r="J96" s="26"/>
      <c r="K96" s="26"/>
      <c r="L96" s="26"/>
      <c r="M96" s="26"/>
      <c r="N96" s="26"/>
      <c r="O96" s="26"/>
      <c r="P96" s="26"/>
      <c r="Q96" s="26"/>
    </row>
    <row r="97" spans="1:17" ht="14" outlineLevel="3" x14ac:dyDescent="0.35">
      <c r="A97" s="211" t="s">
        <v>96</v>
      </c>
      <c r="B97" s="212">
        <f>SUM(B$98:B$103)</f>
        <v>2.9986601518000002</v>
      </c>
      <c r="C97" s="212">
        <f>SUM(C$98:C$103)</f>
        <v>124.48637754184</v>
      </c>
      <c r="D97" s="213">
        <f>SUM(D$98:D$103)</f>
        <v>1.7734999999999997E-2</v>
      </c>
      <c r="E97" s="26"/>
      <c r="F97" s="26"/>
      <c r="G97" s="26"/>
      <c r="H97" s="26"/>
      <c r="I97" s="26"/>
      <c r="J97" s="26"/>
      <c r="K97" s="26"/>
      <c r="L97" s="26"/>
      <c r="M97" s="26"/>
      <c r="N97" s="26"/>
      <c r="O97" s="26"/>
      <c r="P97" s="26"/>
      <c r="Q97" s="26"/>
    </row>
    <row r="98" spans="1:17" outlineLevel="4" x14ac:dyDescent="0.3">
      <c r="A98" s="175" t="s">
        <v>156</v>
      </c>
      <c r="B98" s="176">
        <v>0.31430987136999999</v>
      </c>
      <c r="C98" s="176">
        <v>13.048260000000001</v>
      </c>
      <c r="D98" s="198">
        <v>1.859E-3</v>
      </c>
      <c r="E98" s="26"/>
      <c r="F98" s="26"/>
      <c r="G98" s="26"/>
      <c r="H98" s="26"/>
      <c r="I98" s="26"/>
      <c r="J98" s="26"/>
      <c r="K98" s="26"/>
      <c r="L98" s="26"/>
      <c r="M98" s="26"/>
      <c r="N98" s="26"/>
      <c r="O98" s="26"/>
      <c r="P98" s="26"/>
      <c r="Q98" s="26"/>
    </row>
    <row r="99" spans="1:17" outlineLevel="4" x14ac:dyDescent="0.3">
      <c r="A99" s="175" t="s">
        <v>99</v>
      </c>
      <c r="B99" s="176">
        <v>0.95968797809999995</v>
      </c>
      <c r="C99" s="176">
        <v>39.840486723040001</v>
      </c>
      <c r="D99" s="198">
        <v>5.6759999999999996E-3</v>
      </c>
      <c r="E99" s="26"/>
      <c r="F99" s="26"/>
      <c r="G99" s="26"/>
      <c r="H99" s="26"/>
      <c r="I99" s="26"/>
      <c r="J99" s="26"/>
      <c r="K99" s="26"/>
      <c r="L99" s="26"/>
      <c r="M99" s="26"/>
      <c r="N99" s="26"/>
      <c r="O99" s="26"/>
      <c r="P99" s="26"/>
      <c r="Q99" s="26"/>
    </row>
    <row r="100" spans="1:17" outlineLevel="4" x14ac:dyDescent="0.3">
      <c r="A100" s="175" t="s">
        <v>100</v>
      </c>
      <c r="B100" s="176">
        <v>0.19140065043000001</v>
      </c>
      <c r="C100" s="176">
        <v>7.9458066017300002</v>
      </c>
      <c r="D100" s="198">
        <v>1.132E-3</v>
      </c>
      <c r="E100" s="26"/>
      <c r="F100" s="26"/>
      <c r="G100" s="26"/>
      <c r="H100" s="26"/>
      <c r="I100" s="26"/>
      <c r="J100" s="26"/>
      <c r="K100" s="26"/>
      <c r="L100" s="26"/>
      <c r="M100" s="26"/>
      <c r="N100" s="26"/>
      <c r="O100" s="26"/>
      <c r="P100" s="26"/>
      <c r="Q100" s="26"/>
    </row>
    <row r="101" spans="1:17" outlineLevel="4" x14ac:dyDescent="0.3">
      <c r="A101" s="175" t="s">
        <v>103</v>
      </c>
      <c r="B101" s="176">
        <v>0.51326692550999997</v>
      </c>
      <c r="C101" s="176">
        <v>21.307763145620001</v>
      </c>
      <c r="D101" s="198">
        <v>3.0349999999999999E-3</v>
      </c>
      <c r="E101" s="26"/>
      <c r="F101" s="26"/>
      <c r="G101" s="26"/>
      <c r="H101" s="26"/>
      <c r="I101" s="26"/>
      <c r="J101" s="26"/>
      <c r="K101" s="26"/>
      <c r="L101" s="26"/>
      <c r="M101" s="26"/>
      <c r="N101" s="26"/>
      <c r="O101" s="26"/>
      <c r="P101" s="26"/>
      <c r="Q101" s="26"/>
    </row>
    <row r="102" spans="1:17" outlineLevel="4" x14ac:dyDescent="0.3">
      <c r="A102" s="175" t="s">
        <v>104</v>
      </c>
      <c r="B102" s="176">
        <v>1.01970269339</v>
      </c>
      <c r="C102" s="176">
        <v>42.331937613489998</v>
      </c>
      <c r="D102" s="198">
        <v>6.0309999999999999E-3</v>
      </c>
      <c r="E102" s="26"/>
      <c r="F102" s="26"/>
      <c r="G102" s="26"/>
      <c r="H102" s="26"/>
      <c r="I102" s="26"/>
      <c r="J102" s="26"/>
      <c r="K102" s="26"/>
      <c r="L102" s="26"/>
      <c r="M102" s="26"/>
      <c r="N102" s="26"/>
      <c r="O102" s="26"/>
      <c r="P102" s="26"/>
      <c r="Q102" s="26"/>
    </row>
    <row r="103" spans="1:17" outlineLevel="4" x14ac:dyDescent="0.3">
      <c r="A103" s="175" t="s">
        <v>105</v>
      </c>
      <c r="B103" s="176">
        <v>2.9203299999999997E-4</v>
      </c>
      <c r="C103" s="176">
        <v>1.212345796E-2</v>
      </c>
      <c r="D103" s="198">
        <v>1.9999999999999999E-6</v>
      </c>
      <c r="E103" s="26"/>
      <c r="F103" s="26"/>
      <c r="G103" s="26"/>
      <c r="H103" s="26"/>
      <c r="I103" s="26"/>
      <c r="J103" s="26"/>
      <c r="K103" s="26"/>
      <c r="L103" s="26"/>
      <c r="M103" s="26"/>
      <c r="N103" s="26"/>
      <c r="O103" s="26"/>
      <c r="P103" s="26"/>
      <c r="Q103" s="26"/>
    </row>
    <row r="104" spans="1:17" ht="14" outlineLevel="3" x14ac:dyDescent="0.35">
      <c r="A104" s="211" t="s">
        <v>157</v>
      </c>
      <c r="B104" s="212">
        <f>SUM(B$105:B$106)</f>
        <v>0.85787816407999995</v>
      </c>
      <c r="C104" s="212">
        <f>SUM(C$105:C$106)</f>
        <v>35.613954103519994</v>
      </c>
      <c r="D104" s="213">
        <f>SUM(D$105:D$106)</f>
        <v>5.0729999999999994E-3</v>
      </c>
      <c r="E104" s="26"/>
      <c r="F104" s="26"/>
      <c r="G104" s="26"/>
      <c r="H104" s="26"/>
      <c r="I104" s="26"/>
      <c r="J104" s="26"/>
      <c r="K104" s="26"/>
      <c r="L104" s="26"/>
      <c r="M104" s="26"/>
      <c r="N104" s="26"/>
      <c r="O104" s="26"/>
      <c r="P104" s="26"/>
      <c r="Q104" s="26"/>
    </row>
    <row r="105" spans="1:17" outlineLevel="4" x14ac:dyDescent="0.3">
      <c r="A105" s="175" t="s">
        <v>158</v>
      </c>
      <c r="B105" s="176">
        <v>0.82499999999999996</v>
      </c>
      <c r="C105" s="176">
        <v>34.249049999999997</v>
      </c>
      <c r="D105" s="198">
        <v>4.8789999999999997E-3</v>
      </c>
      <c r="E105" s="26"/>
      <c r="F105" s="26"/>
      <c r="G105" s="26"/>
      <c r="H105" s="26"/>
      <c r="I105" s="26"/>
      <c r="J105" s="26"/>
      <c r="K105" s="26"/>
      <c r="L105" s="26"/>
      <c r="M105" s="26"/>
      <c r="N105" s="26"/>
      <c r="O105" s="26"/>
      <c r="P105" s="26"/>
      <c r="Q105" s="26"/>
    </row>
    <row r="106" spans="1:17" outlineLevel="4" x14ac:dyDescent="0.3">
      <c r="A106" s="175" t="s">
        <v>111</v>
      </c>
      <c r="B106" s="176">
        <v>3.2878164080000001E-2</v>
      </c>
      <c r="C106" s="176">
        <v>1.36490410352</v>
      </c>
      <c r="D106" s="198">
        <v>1.94E-4</v>
      </c>
      <c r="E106" s="26"/>
      <c r="F106" s="26"/>
      <c r="G106" s="26"/>
      <c r="H106" s="26"/>
      <c r="I106" s="26"/>
      <c r="J106" s="26"/>
      <c r="K106" s="26"/>
      <c r="L106" s="26"/>
      <c r="M106" s="26"/>
      <c r="N106" s="26"/>
      <c r="O106" s="26"/>
      <c r="P106" s="26"/>
      <c r="Q106" s="26"/>
    </row>
    <row r="107" spans="1:17" ht="14" outlineLevel="3" x14ac:dyDescent="0.35">
      <c r="A107" s="211" t="s">
        <v>119</v>
      </c>
      <c r="B107" s="212">
        <f>SUM(B$108:B$108)</f>
        <v>0.17853230805</v>
      </c>
      <c r="C107" s="212">
        <f>SUM(C$108:C$108)</f>
        <v>7.4115902363900004</v>
      </c>
      <c r="D107" s="213">
        <f>SUM(D$108:D$108)</f>
        <v>1.0560000000000001E-3</v>
      </c>
      <c r="E107" s="26"/>
      <c r="F107" s="26"/>
      <c r="G107" s="26"/>
      <c r="H107" s="26"/>
      <c r="I107" s="26"/>
      <c r="J107" s="26"/>
      <c r="K107" s="26"/>
      <c r="L107" s="26"/>
      <c r="M107" s="26"/>
      <c r="N107" s="26"/>
      <c r="O107" s="26"/>
      <c r="P107" s="26"/>
      <c r="Q107" s="26"/>
    </row>
    <row r="108" spans="1:17" outlineLevel="4" x14ac:dyDescent="0.3">
      <c r="A108" s="175" t="s">
        <v>159</v>
      </c>
      <c r="B108" s="176">
        <v>0.17853230805</v>
      </c>
      <c r="C108" s="176">
        <v>7.4115902363900004</v>
      </c>
      <c r="D108" s="198">
        <v>1.0560000000000001E-3</v>
      </c>
      <c r="E108" s="26"/>
      <c r="F108" s="26"/>
      <c r="G108" s="26"/>
      <c r="H108" s="26"/>
      <c r="I108" s="26"/>
      <c r="J108" s="26"/>
      <c r="K108" s="26"/>
      <c r="L108" s="26"/>
      <c r="M108" s="26"/>
      <c r="N108" s="26"/>
      <c r="O108" s="26"/>
      <c r="P108" s="26"/>
      <c r="Q108" s="26"/>
    </row>
    <row r="109" spans="1:17" ht="14" outlineLevel="3" x14ac:dyDescent="0.35">
      <c r="A109" s="211" t="s">
        <v>160</v>
      </c>
      <c r="B109" s="212">
        <f>SUM(B$110:B$110)</f>
        <v>0.82499999999999996</v>
      </c>
      <c r="C109" s="212">
        <f>SUM(C$110:C$110)</f>
        <v>34.249049999999997</v>
      </c>
      <c r="D109" s="213">
        <f>SUM(D$110:D$110)</f>
        <v>4.8789999999999997E-3</v>
      </c>
      <c r="E109" s="26"/>
      <c r="F109" s="26"/>
      <c r="G109" s="26"/>
      <c r="H109" s="26"/>
      <c r="I109" s="26"/>
      <c r="J109" s="26"/>
      <c r="K109" s="26"/>
      <c r="L109" s="26"/>
      <c r="M109" s="26"/>
      <c r="N109" s="26"/>
      <c r="O109" s="26"/>
      <c r="P109" s="26"/>
      <c r="Q109" s="26"/>
    </row>
    <row r="110" spans="1:17" outlineLevel="4" x14ac:dyDescent="0.3">
      <c r="A110" s="175" t="s">
        <v>162</v>
      </c>
      <c r="B110" s="176">
        <v>0.82499999999999996</v>
      </c>
      <c r="C110" s="176">
        <v>34.249049999999997</v>
      </c>
      <c r="D110" s="198">
        <v>4.8789999999999997E-3</v>
      </c>
      <c r="E110" s="26"/>
      <c r="F110" s="26"/>
      <c r="G110" s="26"/>
      <c r="H110" s="26"/>
      <c r="I110" s="26"/>
      <c r="J110" s="26"/>
      <c r="K110" s="26"/>
      <c r="L110" s="26"/>
      <c r="M110" s="26"/>
      <c r="N110" s="26"/>
      <c r="O110" s="26"/>
      <c r="P110" s="26"/>
      <c r="Q110" s="26"/>
    </row>
    <row r="111" spans="1:17" ht="14" outlineLevel="3" x14ac:dyDescent="0.35">
      <c r="A111" s="211" t="s">
        <v>137</v>
      </c>
      <c r="B111" s="212">
        <f>SUM(B$112:B$112)</f>
        <v>0.10660969050000001</v>
      </c>
      <c r="C111" s="212">
        <f>SUM(C$112:C$112)</f>
        <v>4.4257946912300001</v>
      </c>
      <c r="D111" s="213">
        <f>SUM(D$112:D$112)</f>
        <v>6.3000000000000003E-4</v>
      </c>
      <c r="E111" s="26"/>
      <c r="F111" s="26"/>
      <c r="G111" s="26"/>
      <c r="H111" s="26"/>
      <c r="I111" s="26"/>
      <c r="J111" s="26"/>
      <c r="K111" s="26"/>
      <c r="L111" s="26"/>
      <c r="M111" s="26"/>
      <c r="N111" s="26"/>
      <c r="O111" s="26"/>
      <c r="P111" s="26"/>
      <c r="Q111" s="26"/>
    </row>
    <row r="112" spans="1:17" outlineLevel="4" x14ac:dyDescent="0.3">
      <c r="A112" s="175" t="s">
        <v>104</v>
      </c>
      <c r="B112" s="176">
        <v>0.10660969050000001</v>
      </c>
      <c r="C112" s="176">
        <v>4.4257946912300001</v>
      </c>
      <c r="D112" s="198">
        <v>6.3000000000000003E-4</v>
      </c>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36" customHeight="1" x14ac:dyDescent="0.45">
      <c r="A2" s="279" t="str">
        <f>DEBT_AS_OF_DATE</f>
        <v>Державний та гарантований державою борг України
станом на 28.02.2025</v>
      </c>
      <c r="B2" s="280"/>
      <c r="C2" s="280"/>
      <c r="D2" s="280"/>
      <c r="E2" s="26"/>
      <c r="F2" s="26"/>
      <c r="G2" s="26"/>
      <c r="H2" s="26"/>
      <c r="I2" s="26"/>
      <c r="J2" s="26"/>
      <c r="K2" s="26"/>
      <c r="L2" s="26"/>
      <c r="M2" s="26"/>
      <c r="N2" s="26"/>
      <c r="O2" s="26"/>
      <c r="P2" s="26"/>
      <c r="Q2" s="26"/>
      <c r="R2" s="26"/>
      <c r="S2" s="26"/>
    </row>
    <row r="3" spans="1:19" ht="18.5" x14ac:dyDescent="0.45">
      <c r="A3" s="282" t="str">
        <f>BY_CREDITOR_TYPE</f>
        <v>(за типом кредитора)</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68" t="str">
        <f>USD</f>
        <v>дол.США</v>
      </c>
      <c r="C6" s="68" t="str">
        <f>UAH</f>
        <v>грн.</v>
      </c>
      <c r="D6" s="69" t="s">
        <v>0</v>
      </c>
    </row>
    <row r="7" spans="1:19" s="15" customFormat="1" ht="15.5" x14ac:dyDescent="0.25">
      <c r="A7" s="145" t="str">
        <f>DEBT_TOTAL</f>
        <v>Загальна сума державного та гарантованого державою боргу</v>
      </c>
      <c r="B7" s="139">
        <f>SUM(B8:B46)</f>
        <v>169.08837600780001</v>
      </c>
      <c r="C7" s="139">
        <f>SUM(C8:C46)</f>
        <v>7019.5348415889612</v>
      </c>
      <c r="D7" s="138">
        <f>SUM(D8:D46)</f>
        <v>0.99999899999999997</v>
      </c>
    </row>
    <row r="8" spans="1:19" s="16" customFormat="1" outlineLevel="3" x14ac:dyDescent="0.25">
      <c r="A8" s="172" t="s">
        <v>189</v>
      </c>
      <c r="B8" s="220">
        <v>44.385930481640003</v>
      </c>
      <c r="C8" s="220">
        <v>1842.6375180108</v>
      </c>
      <c r="D8" s="221">
        <v>0.26250099999999998</v>
      </c>
    </row>
    <row r="9" spans="1:19" s="17" customFormat="1" outlineLevel="3" x14ac:dyDescent="0.25">
      <c r="A9" s="172" t="s">
        <v>190</v>
      </c>
      <c r="B9" s="220">
        <v>1.6901296730599999</v>
      </c>
      <c r="C9" s="220">
        <v>70.164043247699993</v>
      </c>
      <c r="D9" s="221">
        <v>9.9959999999999997E-3</v>
      </c>
    </row>
    <row r="10" spans="1:19" s="18" customFormat="1" outlineLevel="3" x14ac:dyDescent="0.25">
      <c r="A10" s="223" t="s">
        <v>191</v>
      </c>
      <c r="B10" s="173">
        <v>2.2995859999999998E-5</v>
      </c>
      <c r="C10" s="173">
        <v>9.5465000000000003E-4</v>
      </c>
      <c r="D10" s="222">
        <v>0</v>
      </c>
    </row>
    <row r="11" spans="1:19" outlineLevel="3" x14ac:dyDescent="0.3">
      <c r="A11" s="177" t="s">
        <v>192</v>
      </c>
      <c r="B11" s="176">
        <v>19.044165083999999</v>
      </c>
      <c r="C11" s="176">
        <v>790.59946929719001</v>
      </c>
      <c r="D11" s="198">
        <v>0.11262800000000001</v>
      </c>
      <c r="E11" s="26"/>
      <c r="F11" s="26"/>
      <c r="G11" s="26"/>
      <c r="H11" s="26"/>
      <c r="I11" s="26"/>
      <c r="J11" s="26"/>
      <c r="K11" s="26"/>
      <c r="L11" s="26"/>
      <c r="M11" s="26"/>
      <c r="N11" s="26"/>
      <c r="O11" s="26"/>
      <c r="P11" s="26"/>
      <c r="Q11" s="26"/>
    </row>
    <row r="12" spans="1:19" outlineLevel="3" x14ac:dyDescent="0.3">
      <c r="A12" s="177" t="s">
        <v>193</v>
      </c>
      <c r="B12" s="176">
        <v>1.6297199570400001</v>
      </c>
      <c r="C12" s="176">
        <v>67.656194297029998</v>
      </c>
      <c r="D12" s="198">
        <v>9.6380000000000007E-3</v>
      </c>
      <c r="E12" s="26"/>
      <c r="F12" s="26"/>
      <c r="G12" s="26"/>
      <c r="H12" s="26"/>
      <c r="I12" s="26"/>
      <c r="J12" s="26"/>
      <c r="K12" s="26"/>
      <c r="L12" s="26"/>
      <c r="M12" s="26"/>
      <c r="N12" s="26"/>
      <c r="O12" s="26"/>
      <c r="P12" s="26"/>
      <c r="Q12" s="26"/>
    </row>
    <row r="13" spans="1:19" outlineLevel="3" x14ac:dyDescent="0.3">
      <c r="A13" s="177" t="s">
        <v>194</v>
      </c>
      <c r="B13" s="176">
        <v>88.94558423094</v>
      </c>
      <c r="C13" s="176">
        <v>3692.48698376738</v>
      </c>
      <c r="D13" s="198">
        <v>0.52603</v>
      </c>
      <c r="E13" s="26"/>
      <c r="F13" s="26"/>
      <c r="G13" s="26"/>
      <c r="H13" s="26"/>
      <c r="I13" s="26"/>
      <c r="J13" s="26"/>
      <c r="K13" s="26"/>
      <c r="L13" s="26"/>
      <c r="M13" s="26"/>
      <c r="N13" s="26"/>
      <c r="O13" s="26"/>
      <c r="P13" s="26"/>
      <c r="Q13" s="26"/>
    </row>
    <row r="14" spans="1:19" outlineLevel="3" x14ac:dyDescent="0.3">
      <c r="A14" s="177" t="s">
        <v>195</v>
      </c>
      <c r="B14" s="176">
        <v>9.1547116585400001</v>
      </c>
      <c r="C14" s="176">
        <v>380.04869979310001</v>
      </c>
      <c r="D14" s="198">
        <v>5.4142000000000003E-2</v>
      </c>
      <c r="E14" s="26"/>
      <c r="F14" s="26"/>
      <c r="G14" s="26"/>
      <c r="H14" s="26"/>
      <c r="I14" s="26"/>
      <c r="J14" s="26"/>
      <c r="K14" s="26"/>
      <c r="L14" s="26"/>
      <c r="M14" s="26"/>
      <c r="N14" s="26"/>
      <c r="O14" s="26"/>
      <c r="P14" s="26"/>
      <c r="Q14" s="26"/>
    </row>
    <row r="15" spans="1:19" outlineLevel="3" x14ac:dyDescent="0.3">
      <c r="A15" s="177" t="s">
        <v>196</v>
      </c>
      <c r="B15" s="176">
        <v>4.2381119267200003</v>
      </c>
      <c r="C15" s="176">
        <v>175.94097852575999</v>
      </c>
      <c r="D15" s="198">
        <v>2.5063999999999999E-2</v>
      </c>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3" spans="1:19" ht="33.65" customHeight="1" x14ac:dyDescent="0.45">
      <c r="A3" s="279" t="str">
        <f>DEBT_AS_OF_DATE</f>
        <v>Державний та гарантований державою борг України
станом на 28.02.2025</v>
      </c>
      <c r="B3" s="280"/>
      <c r="C3" s="280"/>
      <c r="D3" s="280"/>
      <c r="E3" s="26"/>
      <c r="F3" s="26"/>
      <c r="G3" s="26"/>
      <c r="H3" s="26"/>
      <c r="I3" s="26"/>
      <c r="J3" s="26"/>
      <c r="K3" s="26"/>
      <c r="L3" s="26"/>
      <c r="M3" s="26"/>
      <c r="N3" s="26"/>
      <c r="O3" s="26"/>
      <c r="P3" s="26"/>
      <c r="Q3" s="26"/>
      <c r="R3" s="26"/>
      <c r="S3" s="26"/>
    </row>
    <row r="4" spans="1:19" ht="18.5" x14ac:dyDescent="0.45">
      <c r="A4" s="282" t="str">
        <f>BY_CREDITOR_TYPE</f>
        <v>(за типом кредитора)</v>
      </c>
      <c r="B4" s="282"/>
      <c r="C4" s="282"/>
      <c r="D4" s="282"/>
    </row>
    <row r="5" spans="1:19" x14ac:dyDescent="0.3">
      <c r="B5" s="25"/>
      <c r="C5" s="25"/>
      <c r="D5" s="63"/>
      <c r="E5" s="26"/>
      <c r="F5" s="26"/>
      <c r="G5" s="26"/>
      <c r="H5" s="26"/>
      <c r="I5" s="26"/>
      <c r="J5" s="26"/>
      <c r="K5" s="26"/>
      <c r="L5" s="26"/>
      <c r="M5" s="26"/>
      <c r="N5" s="26"/>
      <c r="O5" s="26"/>
      <c r="P5" s="26"/>
      <c r="Q5" s="26"/>
    </row>
    <row r="6" spans="1:19" s="27" customFormat="1" x14ac:dyDescent="0.3">
      <c r="B6" s="28"/>
      <c r="C6" s="28"/>
      <c r="D6" s="27" t="str">
        <f>VALVAL</f>
        <v>млрд. одиниць</v>
      </c>
    </row>
    <row r="7" spans="1:19" s="14" customFormat="1" x14ac:dyDescent="0.25">
      <c r="A7" s="12"/>
      <c r="B7" s="68" t="str">
        <f>USD</f>
        <v>дол.США</v>
      </c>
      <c r="C7" s="68" t="str">
        <f>UAH</f>
        <v>грн.</v>
      </c>
      <c r="D7" s="69" t="s">
        <v>0</v>
      </c>
    </row>
    <row r="8" spans="1:19" s="15" customFormat="1" ht="14.5" x14ac:dyDescent="0.25">
      <c r="A8" s="155" t="str">
        <f>DEBT_TOTAL</f>
        <v>Загальна сума державного та гарантованого державою боргу</v>
      </c>
      <c r="B8" s="123">
        <f>B$17+B$9</f>
        <v>169.08837600779998</v>
      </c>
      <c r="C8" s="123">
        <f>C$17+C$9</f>
        <v>7019.5348415889612</v>
      </c>
      <c r="D8" s="124">
        <f>D$17+D$9</f>
        <v>0.99999899999999997</v>
      </c>
    </row>
    <row r="9" spans="1:19" s="16" customFormat="1" ht="14.5" outlineLevel="1" x14ac:dyDescent="0.25">
      <c r="A9" s="224" t="s">
        <v>1</v>
      </c>
      <c r="B9" s="225">
        <f>SUM(B$10:B$16)</f>
        <v>162.35879084801999</v>
      </c>
      <c r="C9" s="225">
        <f>SUM(C$10:C$16)</f>
        <v>6740.1628432660609</v>
      </c>
      <c r="D9" s="226">
        <f>SUM(D$10:D$16)</f>
        <v>0.96019999999999994</v>
      </c>
    </row>
    <row r="10" spans="1:19" s="17" customFormat="1" outlineLevel="3" x14ac:dyDescent="0.25">
      <c r="A10" s="172" t="s">
        <v>189</v>
      </c>
      <c r="B10" s="220">
        <v>44.278135241480001</v>
      </c>
      <c r="C10" s="220">
        <v>1838.1625064108</v>
      </c>
      <c r="D10" s="221">
        <v>0.26186399999999999</v>
      </c>
    </row>
    <row r="11" spans="1:19" s="18" customFormat="1" outlineLevel="3" x14ac:dyDescent="0.25">
      <c r="A11" s="223" t="s">
        <v>190</v>
      </c>
      <c r="B11" s="173">
        <v>3.5043063729999997E-2</v>
      </c>
      <c r="C11" s="173">
        <v>1.4547777477799999</v>
      </c>
      <c r="D11" s="222">
        <v>2.0699999999999999E-4</v>
      </c>
    </row>
    <row r="12" spans="1:19" outlineLevel="3" x14ac:dyDescent="0.3">
      <c r="A12" s="177" t="s">
        <v>192</v>
      </c>
      <c r="B12" s="176">
        <v>18.219165084</v>
      </c>
      <c r="C12" s="176">
        <v>756.35041929719</v>
      </c>
      <c r="D12" s="198">
        <v>0.107749</v>
      </c>
      <c r="E12" s="26"/>
      <c r="F12" s="26"/>
      <c r="G12" s="26"/>
      <c r="H12" s="26"/>
      <c r="I12" s="26"/>
      <c r="J12" s="26"/>
      <c r="K12" s="26"/>
      <c r="L12" s="26"/>
      <c r="M12" s="26"/>
      <c r="N12" s="26"/>
      <c r="O12" s="26"/>
      <c r="P12" s="26"/>
      <c r="Q12" s="26"/>
    </row>
    <row r="13" spans="1:19" outlineLevel="3" x14ac:dyDescent="0.3">
      <c r="A13" s="177" t="s">
        <v>193</v>
      </c>
      <c r="B13" s="176">
        <v>1.45118764899</v>
      </c>
      <c r="C13" s="176">
        <v>60.24460406064</v>
      </c>
      <c r="D13" s="198">
        <v>8.5819999999999994E-3</v>
      </c>
      <c r="E13" s="26"/>
      <c r="F13" s="26"/>
      <c r="G13" s="26"/>
      <c r="H13" s="26"/>
      <c r="I13" s="26"/>
      <c r="J13" s="26"/>
      <c r="K13" s="26"/>
      <c r="L13" s="26"/>
      <c r="M13" s="26"/>
      <c r="N13" s="26"/>
      <c r="O13" s="26"/>
      <c r="P13" s="26"/>
      <c r="Q13" s="26"/>
    </row>
    <row r="14" spans="1:19" outlineLevel="3" x14ac:dyDescent="0.3">
      <c r="A14" s="177" t="s">
        <v>194</v>
      </c>
      <c r="B14" s="176">
        <v>85.946924079140004</v>
      </c>
      <c r="C14" s="176">
        <v>3568.0006062255402</v>
      </c>
      <c r="D14" s="198">
        <v>0.50829599999999997</v>
      </c>
      <c r="E14" s="26"/>
      <c r="F14" s="26"/>
      <c r="G14" s="26"/>
      <c r="H14" s="26"/>
      <c r="I14" s="26"/>
      <c r="J14" s="26"/>
      <c r="K14" s="26"/>
      <c r="L14" s="26"/>
      <c r="M14" s="26"/>
      <c r="N14" s="26"/>
      <c r="O14" s="26"/>
      <c r="P14" s="26"/>
      <c r="Q14" s="26"/>
    </row>
    <row r="15" spans="1:19" outlineLevel="3" x14ac:dyDescent="0.3">
      <c r="A15" s="177" t="s">
        <v>195</v>
      </c>
      <c r="B15" s="176">
        <v>8.2968334944599995</v>
      </c>
      <c r="C15" s="176">
        <v>344.43474568957998</v>
      </c>
      <c r="D15" s="198">
        <v>4.9068000000000001E-2</v>
      </c>
      <c r="E15" s="26"/>
      <c r="F15" s="26"/>
      <c r="G15" s="26"/>
      <c r="H15" s="26"/>
      <c r="I15" s="26"/>
      <c r="J15" s="26"/>
      <c r="K15" s="26"/>
      <c r="L15" s="26"/>
      <c r="M15" s="26"/>
      <c r="N15" s="26"/>
      <c r="O15" s="26"/>
      <c r="P15" s="26"/>
      <c r="Q15" s="26"/>
    </row>
    <row r="16" spans="1:19" outlineLevel="3" x14ac:dyDescent="0.3">
      <c r="A16" s="177" t="s">
        <v>196</v>
      </c>
      <c r="B16" s="176">
        <v>4.1315022362200002</v>
      </c>
      <c r="C16" s="176">
        <v>171.51518383453001</v>
      </c>
      <c r="D16" s="198">
        <v>2.4434000000000001E-2</v>
      </c>
      <c r="E16" s="26"/>
      <c r="F16" s="26"/>
      <c r="G16" s="26"/>
      <c r="H16" s="26"/>
      <c r="I16" s="26"/>
      <c r="J16" s="26"/>
      <c r="K16" s="26"/>
      <c r="L16" s="26"/>
      <c r="M16" s="26"/>
      <c r="N16" s="26"/>
      <c r="O16" s="26"/>
      <c r="P16" s="26"/>
      <c r="Q16" s="26"/>
    </row>
    <row r="17" spans="1:17" ht="14.5" outlineLevel="1" x14ac:dyDescent="0.35">
      <c r="A17" s="227" t="s">
        <v>2</v>
      </c>
      <c r="B17" s="228">
        <f>SUM(B$18:B$25)</f>
        <v>6.7295851597799992</v>
      </c>
      <c r="C17" s="228">
        <f>SUM(C$18:C$25)</f>
        <v>279.37199832289997</v>
      </c>
      <c r="D17" s="229">
        <f>SUM(D$18:D$25)</f>
        <v>3.9799000000000001E-2</v>
      </c>
      <c r="E17" s="26"/>
      <c r="F17" s="26"/>
      <c r="G17" s="26"/>
      <c r="H17" s="26"/>
      <c r="I17" s="26"/>
      <c r="J17" s="26"/>
      <c r="K17" s="26"/>
      <c r="L17" s="26"/>
      <c r="M17" s="26"/>
      <c r="N17" s="26"/>
      <c r="O17" s="26"/>
      <c r="P17" s="26"/>
      <c r="Q17" s="26"/>
    </row>
    <row r="18" spans="1:17" outlineLevel="3" x14ac:dyDescent="0.3">
      <c r="A18" s="177" t="s">
        <v>189</v>
      </c>
      <c r="B18" s="176">
        <v>0.10779524016</v>
      </c>
      <c r="C18" s="176">
        <v>4.4750116000000002</v>
      </c>
      <c r="D18" s="198">
        <v>6.38E-4</v>
      </c>
      <c r="E18" s="26"/>
      <c r="F18" s="26"/>
      <c r="G18" s="26"/>
      <c r="H18" s="26"/>
      <c r="I18" s="26"/>
      <c r="J18" s="26"/>
      <c r="K18" s="26"/>
      <c r="L18" s="26"/>
      <c r="M18" s="26"/>
      <c r="N18" s="26"/>
      <c r="O18" s="26"/>
      <c r="P18" s="26"/>
      <c r="Q18" s="26"/>
    </row>
    <row r="19" spans="1:17" outlineLevel="3" x14ac:dyDescent="0.3">
      <c r="A19" s="177" t="s">
        <v>190</v>
      </c>
      <c r="B19" s="176">
        <v>1.6550866093300001</v>
      </c>
      <c r="C19" s="176">
        <v>68.709265499919994</v>
      </c>
      <c r="D19" s="198">
        <v>9.7879999999999998E-3</v>
      </c>
      <c r="E19" s="26"/>
      <c r="F19" s="26"/>
      <c r="G19" s="26"/>
      <c r="H19" s="26"/>
      <c r="I19" s="26"/>
      <c r="J19" s="26"/>
      <c r="K19" s="26"/>
      <c r="L19" s="26"/>
      <c r="M19" s="26"/>
      <c r="N19" s="26"/>
      <c r="O19" s="26"/>
      <c r="P19" s="26"/>
      <c r="Q19" s="26"/>
    </row>
    <row r="20" spans="1:17" outlineLevel="3" x14ac:dyDescent="0.3">
      <c r="A20" s="177" t="s">
        <v>191</v>
      </c>
      <c r="B20" s="176">
        <v>2.2995859999999998E-5</v>
      </c>
      <c r="C20" s="176">
        <v>9.5465000000000003E-4</v>
      </c>
      <c r="D20" s="198">
        <v>0</v>
      </c>
      <c r="E20" s="26"/>
      <c r="F20" s="26"/>
      <c r="G20" s="26"/>
      <c r="H20" s="26"/>
      <c r="I20" s="26"/>
      <c r="J20" s="26"/>
      <c r="K20" s="26"/>
      <c r="L20" s="26"/>
      <c r="M20" s="26"/>
      <c r="N20" s="26"/>
      <c r="O20" s="26"/>
      <c r="P20" s="26"/>
      <c r="Q20" s="26"/>
    </row>
    <row r="21" spans="1:17" outlineLevel="3" x14ac:dyDescent="0.3">
      <c r="A21" s="177" t="s">
        <v>192</v>
      </c>
      <c r="B21" s="176">
        <v>0.82499999999999996</v>
      </c>
      <c r="C21" s="176">
        <v>34.249049999999997</v>
      </c>
      <c r="D21" s="198">
        <v>4.8789999999999997E-3</v>
      </c>
      <c r="E21" s="26"/>
      <c r="F21" s="26"/>
      <c r="G21" s="26"/>
      <c r="H21" s="26"/>
      <c r="I21" s="26"/>
      <c r="J21" s="26"/>
      <c r="K21" s="26"/>
      <c r="L21" s="26"/>
      <c r="M21" s="26"/>
      <c r="N21" s="26"/>
      <c r="O21" s="26"/>
      <c r="P21" s="26"/>
      <c r="Q21" s="26"/>
    </row>
    <row r="22" spans="1:17" outlineLevel="3" x14ac:dyDescent="0.3">
      <c r="A22" s="177" t="s">
        <v>193</v>
      </c>
      <c r="B22" s="176">
        <v>0.17853230805</v>
      </c>
      <c r="C22" s="176">
        <v>7.4115902363900004</v>
      </c>
      <c r="D22" s="198">
        <v>1.0560000000000001E-3</v>
      </c>
      <c r="E22" s="26"/>
      <c r="F22" s="26"/>
      <c r="G22" s="26"/>
      <c r="H22" s="26"/>
      <c r="I22" s="26"/>
      <c r="J22" s="26"/>
      <c r="K22" s="26"/>
      <c r="L22" s="26"/>
      <c r="M22" s="26"/>
      <c r="N22" s="26"/>
      <c r="O22" s="26"/>
      <c r="P22" s="26"/>
      <c r="Q22" s="26"/>
    </row>
    <row r="23" spans="1:17" outlineLevel="3" x14ac:dyDescent="0.3">
      <c r="A23" s="177" t="s">
        <v>194</v>
      </c>
      <c r="B23" s="176">
        <v>2.9986601517999998</v>
      </c>
      <c r="C23" s="176">
        <v>124.48637754184</v>
      </c>
      <c r="D23" s="198">
        <v>1.7734E-2</v>
      </c>
      <c r="E23" s="26"/>
      <c r="F23" s="26"/>
      <c r="G23" s="26"/>
      <c r="H23" s="26"/>
      <c r="I23" s="26"/>
      <c r="J23" s="26"/>
      <c r="K23" s="26"/>
      <c r="L23" s="26"/>
      <c r="M23" s="26"/>
      <c r="N23" s="26"/>
      <c r="O23" s="26"/>
      <c r="P23" s="26"/>
      <c r="Q23" s="26"/>
    </row>
    <row r="24" spans="1:17" outlineLevel="3" x14ac:dyDescent="0.3">
      <c r="A24" s="177" t="s">
        <v>195</v>
      </c>
      <c r="B24" s="176">
        <v>0.85787816407999995</v>
      </c>
      <c r="C24" s="176">
        <v>35.613954103520001</v>
      </c>
      <c r="D24" s="198">
        <v>5.0740000000000004E-3</v>
      </c>
      <c r="E24" s="26"/>
      <c r="F24" s="26"/>
      <c r="G24" s="26"/>
      <c r="H24" s="26"/>
      <c r="I24" s="26"/>
      <c r="J24" s="26"/>
      <c r="K24" s="26"/>
      <c r="L24" s="26"/>
      <c r="M24" s="26"/>
      <c r="N24" s="26"/>
      <c r="O24" s="26"/>
      <c r="P24" s="26"/>
      <c r="Q24" s="26"/>
    </row>
    <row r="25" spans="1:17" outlineLevel="3" x14ac:dyDescent="0.3">
      <c r="A25" s="177" t="s">
        <v>196</v>
      </c>
      <c r="B25" s="176">
        <v>0.10660969050000001</v>
      </c>
      <c r="C25" s="176">
        <v>4.4257946912300001</v>
      </c>
      <c r="D25" s="198">
        <v>6.3000000000000003E-4</v>
      </c>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A4" s="140" t="str">
        <f>$A$2 &amp; " (" &amp;G4 &amp; ")"</f>
        <v>Державний та гарантований державою борг України за останні 5 років (млрд. грн)</v>
      </c>
      <c r="G4" s="27" t="str">
        <f>VALUAH</f>
        <v>млрд. грн</v>
      </c>
    </row>
    <row r="5" spans="1:19" s="14" customFormat="1" x14ac:dyDescent="0.25">
      <c r="A5" s="12"/>
      <c r="B5" s="13">
        <v>44196</v>
      </c>
      <c r="C5" s="13">
        <v>44561</v>
      </c>
      <c r="D5" s="13">
        <v>44926</v>
      </c>
      <c r="E5" s="13">
        <v>45291</v>
      </c>
      <c r="F5" s="13">
        <v>45657</v>
      </c>
      <c r="G5" s="13">
        <v>45716</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6980.96486574559</v>
      </c>
      <c r="G6" s="112">
        <f t="shared" si="0"/>
        <v>7019.5348415889603</v>
      </c>
    </row>
    <row r="7" spans="1:19" s="38" customFormat="1" outlineLevel="1" x14ac:dyDescent="0.25">
      <c r="A7" s="160" t="s">
        <v>57</v>
      </c>
      <c r="B7" s="166">
        <v>1032.9472373433</v>
      </c>
      <c r="C7" s="166">
        <v>1111.59786125906</v>
      </c>
      <c r="D7" s="166">
        <v>1461.888183668</v>
      </c>
      <c r="E7" s="166">
        <v>1656.49630379928</v>
      </c>
      <c r="F7" s="166">
        <v>1932.48958136344</v>
      </c>
      <c r="G7" s="166">
        <v>1912.8025159085</v>
      </c>
    </row>
    <row r="8" spans="1:19" s="38" customFormat="1" outlineLevel="1" x14ac:dyDescent="0.25">
      <c r="A8" s="160" t="s">
        <v>95</v>
      </c>
      <c r="B8" s="166">
        <v>1518.9344878609099</v>
      </c>
      <c r="C8" s="166">
        <v>1560.4621590567101</v>
      </c>
      <c r="D8" s="166">
        <v>2613.6796544812701</v>
      </c>
      <c r="E8" s="166">
        <v>3863.13915481087</v>
      </c>
      <c r="F8" s="166">
        <v>5048.4752843821498</v>
      </c>
      <c r="G8" s="166">
        <v>5106.7323256804602</v>
      </c>
    </row>
    <row r="9" spans="1:19" x14ac:dyDescent="0.3">
      <c r="B9" s="26"/>
      <c r="C9" s="26"/>
      <c r="D9" s="26"/>
      <c r="E9" s="26"/>
      <c r="F9" s="26"/>
      <c r="G9" s="26"/>
      <c r="H9" s="26"/>
      <c r="I9" s="26"/>
      <c r="J9" s="26"/>
      <c r="K9" s="26"/>
      <c r="L9" s="26"/>
      <c r="M9" s="26"/>
      <c r="N9" s="26"/>
      <c r="O9" s="26"/>
      <c r="P9" s="26"/>
      <c r="Q9" s="26"/>
    </row>
    <row r="10" spans="1:19" x14ac:dyDescent="0.3">
      <c r="A10" s="140" t="str">
        <f>$A$2 &amp; " (" &amp;G10 &amp; ")"</f>
        <v>Державний та гарантований державою борг України за останні 5 років (млрд. дол. США)</v>
      </c>
      <c r="B10" s="26"/>
      <c r="C10" s="26"/>
      <c r="D10" s="26"/>
      <c r="E10" s="26"/>
      <c r="F10" s="26"/>
      <c r="G10" s="27" t="str">
        <f>VALUSD</f>
        <v>млрд. дол. США</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45716</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90.253504035259994</v>
      </c>
      <c r="C12" s="112">
        <f t="shared" si="1"/>
        <v>97.955877598960001</v>
      </c>
      <c r="D12" s="112">
        <f t="shared" si="1"/>
        <v>111.44992803011999</v>
      </c>
      <c r="E12" s="112">
        <f t="shared" si="1"/>
        <v>145.32087120896</v>
      </c>
      <c r="F12" s="112">
        <f t="shared" si="1"/>
        <v>166.05925130833998</v>
      </c>
      <c r="G12" s="112">
        <f t="shared" si="1"/>
        <v>169.08837600780001</v>
      </c>
      <c r="H12" s="35"/>
      <c r="I12" s="35"/>
      <c r="J12" s="35"/>
      <c r="K12" s="35"/>
      <c r="L12" s="35"/>
      <c r="M12" s="35"/>
      <c r="N12" s="35"/>
      <c r="O12" s="35"/>
      <c r="P12" s="35"/>
      <c r="Q12" s="35"/>
    </row>
    <row r="13" spans="1:19" s="40" customFormat="1" outlineLevel="1" x14ac:dyDescent="0.3">
      <c r="A13" s="163" t="s">
        <v>57</v>
      </c>
      <c r="B13" s="161">
        <v>36.532691438050001</v>
      </c>
      <c r="C13" s="161">
        <v>40.750410997160003</v>
      </c>
      <c r="D13" s="161">
        <v>39.976596962419997</v>
      </c>
      <c r="E13" s="161">
        <v>43.612207332799997</v>
      </c>
      <c r="F13" s="161">
        <v>45.968971226080001</v>
      </c>
      <c r="G13" s="161">
        <v>46.076083150560002</v>
      </c>
      <c r="H13" s="39"/>
      <c r="I13" s="39"/>
      <c r="J13" s="39"/>
      <c r="K13" s="39"/>
      <c r="L13" s="39"/>
      <c r="M13" s="39"/>
      <c r="N13" s="39"/>
      <c r="O13" s="39"/>
      <c r="P13" s="39"/>
      <c r="Q13" s="39"/>
    </row>
    <row r="14" spans="1:19" s="40" customFormat="1" outlineLevel="1" x14ac:dyDescent="0.3">
      <c r="A14" s="163" t="s">
        <v>95</v>
      </c>
      <c r="B14" s="161">
        <v>53.720812597209999</v>
      </c>
      <c r="C14" s="161">
        <v>57.205466601799998</v>
      </c>
      <c r="D14" s="161">
        <v>71.473331067700002</v>
      </c>
      <c r="E14" s="161">
        <v>101.70866387616</v>
      </c>
      <c r="F14" s="161">
        <v>120.09028008225999</v>
      </c>
      <c r="G14" s="161">
        <v>123.01229285724</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45716</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3" t="s">
        <v>57</v>
      </c>
      <c r="B19" s="164">
        <v>0.404779</v>
      </c>
      <c r="C19" s="164">
        <v>0.41600799999999999</v>
      </c>
      <c r="D19" s="164">
        <v>0.35869600000000001</v>
      </c>
      <c r="E19" s="164">
        <v>0.30010999999999999</v>
      </c>
      <c r="F19" s="164">
        <v>0.27682299999999999</v>
      </c>
      <c r="G19" s="164">
        <v>0.27249699999999999</v>
      </c>
      <c r="H19" s="39"/>
      <c r="I19" s="39"/>
      <c r="J19" s="39"/>
      <c r="K19" s="39"/>
      <c r="L19" s="39"/>
      <c r="M19" s="39"/>
      <c r="N19" s="39"/>
      <c r="O19" s="39"/>
      <c r="P19" s="39"/>
      <c r="Q19" s="39"/>
    </row>
    <row r="20" spans="1:19" s="40" customFormat="1" outlineLevel="1" x14ac:dyDescent="0.3">
      <c r="A20" s="163" t="s">
        <v>95</v>
      </c>
      <c r="B20" s="164">
        <v>0.595221</v>
      </c>
      <c r="C20" s="164">
        <v>0.58399199999999996</v>
      </c>
      <c r="D20" s="164">
        <v>0.64130399999999999</v>
      </c>
      <c r="E20" s="164">
        <v>0.69989000000000001</v>
      </c>
      <c r="F20" s="164">
        <v>0.72317699999999996</v>
      </c>
      <c r="G20" s="164">
        <v>0.72750300000000001</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4" spans="1:19" s="27" customFormat="1" x14ac:dyDescent="0.3">
      <c r="G4" s="148" t="str">
        <f>VALUAH</f>
        <v>млрд. грн</v>
      </c>
    </row>
    <row r="5" spans="1:19" s="14" customFormat="1" x14ac:dyDescent="0.25">
      <c r="A5" s="60"/>
      <c r="B5" s="13">
        <f>YT_ALL!B5</f>
        <v>44196</v>
      </c>
      <c r="C5" s="13">
        <f>YT_ALL!C5</f>
        <v>44561</v>
      </c>
      <c r="D5" s="13">
        <f>YT_ALL!D5</f>
        <v>44926</v>
      </c>
      <c r="E5" s="13">
        <f>YT_ALL!E5</f>
        <v>45291</v>
      </c>
      <c r="F5" s="13">
        <f>YT_ALL!F5</f>
        <v>45657</v>
      </c>
      <c r="G5" s="13">
        <f>YT_ALL!G5</f>
        <v>45716</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6980.96486574559</v>
      </c>
      <c r="G6" s="112">
        <f t="shared" si="0"/>
        <v>7019.5348415889603</v>
      </c>
    </row>
    <row r="7" spans="1:19" s="38" customFormat="1" x14ac:dyDescent="0.25">
      <c r="A7" s="114" t="str">
        <f>YT_ALL!A7</f>
        <v>Внутрішній борг</v>
      </c>
      <c r="B7" s="19">
        <f>YT_ALL!B7/DMLMLR</f>
        <v>1032.9472373433</v>
      </c>
      <c r="C7" s="19">
        <f>YT_ALL!C7/DMLMLR</f>
        <v>1111.59786125906</v>
      </c>
      <c r="D7" s="19">
        <f>YT_ALL!D7/DMLMLR</f>
        <v>1461.888183668</v>
      </c>
      <c r="E7" s="19">
        <f>YT_ALL!E7/DMLMLR</f>
        <v>1656.49630379928</v>
      </c>
      <c r="F7" s="19">
        <f>YT_ALL!F7/DMLMLR</f>
        <v>1932.48958136344</v>
      </c>
      <c r="G7" s="19">
        <f>YT_ALL!G7/DMLMLR</f>
        <v>1912.8025159085</v>
      </c>
    </row>
    <row r="8" spans="1:19" s="38" customFormat="1" x14ac:dyDescent="0.25">
      <c r="A8" s="114" t="str">
        <f>YT_ALL!A8</f>
        <v>Зовнішній борг</v>
      </c>
      <c r="B8" s="19">
        <f>YT_ALL!B8/DMLMLR</f>
        <v>1518.9344878609099</v>
      </c>
      <c r="C8" s="19">
        <f>YT_ALL!C8/DMLMLR</f>
        <v>1560.4621590567101</v>
      </c>
      <c r="D8" s="19">
        <f>YT_ALL!D8/DMLMLR</f>
        <v>2613.6796544812701</v>
      </c>
      <c r="E8" s="19">
        <f>YT_ALL!E8/DMLMLR</f>
        <v>3863.13915481087</v>
      </c>
      <c r="F8" s="19">
        <f>YT_ALL!F8/DMLMLR</f>
        <v>5048.4752843821498</v>
      </c>
      <c r="G8" s="19">
        <f>YT_ALL!G8/DMLMLR</f>
        <v>5106.7323256804602</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млрд. дол. США</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45716</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90.253504035259994</v>
      </c>
      <c r="C12" s="112">
        <f t="shared" si="1"/>
        <v>97.955877598960001</v>
      </c>
      <c r="D12" s="112">
        <f t="shared" si="1"/>
        <v>111.44992803011999</v>
      </c>
      <c r="E12" s="112">
        <f t="shared" si="1"/>
        <v>145.32087120896</v>
      </c>
      <c r="F12" s="112">
        <f t="shared" si="1"/>
        <v>166.05925130833998</v>
      </c>
      <c r="G12" s="112">
        <f t="shared" si="1"/>
        <v>169.08837600780001</v>
      </c>
      <c r="H12" s="35"/>
      <c r="I12" s="35"/>
      <c r="J12" s="35"/>
      <c r="K12" s="35"/>
      <c r="L12" s="35"/>
      <c r="M12" s="35"/>
      <c r="N12" s="35"/>
      <c r="O12" s="35"/>
      <c r="P12" s="35"/>
      <c r="Q12" s="35"/>
    </row>
    <row r="13" spans="1:19" s="40" customFormat="1" x14ac:dyDescent="0.3">
      <c r="A13" s="114" t="str">
        <f>YT_ALL!A13</f>
        <v>Внутрішній борг</v>
      </c>
      <c r="B13" s="19">
        <f>YT_ALL!B13/DMLMLR</f>
        <v>36.532691438050001</v>
      </c>
      <c r="C13" s="19">
        <f>YT_ALL!C13/DMLMLR</f>
        <v>40.750410997160003</v>
      </c>
      <c r="D13" s="19">
        <f>YT_ALL!D13/DMLMLR</f>
        <v>39.976596962419997</v>
      </c>
      <c r="E13" s="19">
        <f>YT_ALL!E13/DMLMLR</f>
        <v>43.612207332799997</v>
      </c>
      <c r="F13" s="19">
        <f>YT_ALL!F13/DMLMLR</f>
        <v>45.968971226080001</v>
      </c>
      <c r="G13" s="19">
        <f>YT_ALL!G13/DMLMLR</f>
        <v>46.076083150560002</v>
      </c>
      <c r="H13" s="39"/>
      <c r="I13" s="39"/>
      <c r="J13" s="39"/>
      <c r="K13" s="39"/>
      <c r="L13" s="39"/>
      <c r="M13" s="39"/>
      <c r="N13" s="39"/>
      <c r="O13" s="39"/>
      <c r="P13" s="39"/>
      <c r="Q13" s="39"/>
    </row>
    <row r="14" spans="1:19" s="40" customFormat="1" x14ac:dyDescent="0.3">
      <c r="A14" s="114" t="str">
        <f>YT_ALL!A14</f>
        <v>Зовнішній борг</v>
      </c>
      <c r="B14" s="19">
        <f>YT_ALL!B14/DMLMLR</f>
        <v>53.720812597209999</v>
      </c>
      <c r="C14" s="19">
        <f>YT_ALL!C14/DMLMLR</f>
        <v>57.205466601799998</v>
      </c>
      <c r="D14" s="19">
        <f>YT_ALL!D14/DMLMLR</f>
        <v>71.473331067700002</v>
      </c>
      <c r="E14" s="19">
        <f>YT_ALL!E14/DMLMLR</f>
        <v>101.70866387616</v>
      </c>
      <c r="F14" s="19">
        <f>YT_ALL!F14/DMLMLR</f>
        <v>120.09028008225999</v>
      </c>
      <c r="G14" s="19">
        <f>YT_ALL!G14/DMLMLR</f>
        <v>123.01229285724</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45716</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YT_ALL!A19</f>
        <v>Внутрішній борг</v>
      </c>
      <c r="B19" s="58">
        <f>YT_ALL!B19</f>
        <v>0.404779</v>
      </c>
      <c r="C19" s="58">
        <f>YT_ALL!C19</f>
        <v>0.41600799999999999</v>
      </c>
      <c r="D19" s="58">
        <f>YT_ALL!D19</f>
        <v>0.35869600000000001</v>
      </c>
      <c r="E19" s="58">
        <f>YT_ALL!E19</f>
        <v>0.30010999999999999</v>
      </c>
      <c r="F19" s="58">
        <f>YT_ALL!F19</f>
        <v>0.27682299999999999</v>
      </c>
      <c r="G19" s="58">
        <f>YT_ALL!G19</f>
        <v>0.27249699999999999</v>
      </c>
      <c r="H19" s="39"/>
      <c r="I19" s="39"/>
      <c r="J19" s="39"/>
      <c r="K19" s="39"/>
      <c r="L19" s="39"/>
      <c r="M19" s="39"/>
      <c r="N19" s="39"/>
      <c r="O19" s="39"/>
      <c r="P19" s="39"/>
      <c r="Q19" s="39"/>
    </row>
    <row r="20" spans="1:19" s="40" customFormat="1" x14ac:dyDescent="0.3">
      <c r="A20" s="114" t="str">
        <f>YT_ALL!A20</f>
        <v>Зовнішній борг</v>
      </c>
      <c r="B20" s="58">
        <f>YT_ALL!B20</f>
        <v>0.595221</v>
      </c>
      <c r="C20" s="58">
        <f>YT_ALL!C20</f>
        <v>0.58399199999999996</v>
      </c>
      <c r="D20" s="58">
        <f>YT_ALL!D20</f>
        <v>0.64130399999999999</v>
      </c>
      <c r="E20" s="58">
        <f>YT_ALL!E20</f>
        <v>0.69989000000000001</v>
      </c>
      <c r="F20" s="58">
        <f>YT_ALL!F20</f>
        <v>0.72317699999999996</v>
      </c>
      <c r="G20" s="58">
        <f>YT_ALL!G20</f>
        <v>0.72750300000000001</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4" spans="1:19" s="27" customFormat="1" x14ac:dyDescent="0.3">
      <c r="G4" s="148" t="str">
        <f>VALUAH</f>
        <v>млрд. грн</v>
      </c>
    </row>
    <row r="5" spans="1:19" s="14" customFormat="1" x14ac:dyDescent="0.25">
      <c r="A5" s="60"/>
      <c r="B5" s="13">
        <f>YT_ALL!B5</f>
        <v>44196</v>
      </c>
      <c r="C5" s="13">
        <f>YT_ALL!C5</f>
        <v>44561</v>
      </c>
      <c r="D5" s="13">
        <f>YT_ALL!D5</f>
        <v>44926</v>
      </c>
      <c r="E5" s="13">
        <f>YT_ALL!E5</f>
        <v>45291</v>
      </c>
      <c r="F5" s="13">
        <f>YT_ALL!F5</f>
        <v>45657</v>
      </c>
      <c r="G5" s="13">
        <f>YT_ALL!G5</f>
        <v>45716</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6980.96486574559</v>
      </c>
      <c r="G6" s="112">
        <f t="shared" si="0"/>
        <v>7019.5348415889603</v>
      </c>
    </row>
    <row r="7" spans="1:19" s="38" customFormat="1" x14ac:dyDescent="0.25">
      <c r="A7" s="114" t="str">
        <f>YK_ALL!A7</f>
        <v>Державний борг</v>
      </c>
      <c r="B7" s="19">
        <f>YK_ALL!B7/DMLMLR</f>
        <v>2259.2315015926201</v>
      </c>
      <c r="C7" s="19">
        <f>YK_ALL!C7/DMLMLR</f>
        <v>2362.7201507571899</v>
      </c>
      <c r="D7" s="19">
        <f>YK_ALL!D7/DMLMLR</f>
        <v>3715.1336317660898</v>
      </c>
      <c r="E7" s="19">
        <f>YK_ALL!E7/DMLMLR</f>
        <v>5188.0907415274296</v>
      </c>
      <c r="F7" s="19">
        <f>YK_ALL!F7/DMLMLR</f>
        <v>6692.4537564279799</v>
      </c>
      <c r="G7" s="19">
        <f>YK_ALL!G7/DMLMLR</f>
        <v>6740.16284326606</v>
      </c>
    </row>
    <row r="8" spans="1:19" s="38" customFormat="1" x14ac:dyDescent="0.25">
      <c r="A8" s="114" t="str">
        <f>YK_ALL!A8</f>
        <v>Гарантований державою борг</v>
      </c>
      <c r="B8" s="19">
        <f>YK_ALL!B8/DMLMLR</f>
        <v>292.65022361158998</v>
      </c>
      <c r="C8" s="19">
        <f>YK_ALL!C8/DMLMLR</f>
        <v>309.33986955858001</v>
      </c>
      <c r="D8" s="19">
        <f>YK_ALL!D8/DMLMLR</f>
        <v>360.43420638318003</v>
      </c>
      <c r="E8" s="19">
        <f>YK_ALL!E8/DMLMLR</f>
        <v>331.54471708272001</v>
      </c>
      <c r="F8" s="19">
        <f>YK_ALL!F8/DMLMLR</f>
        <v>288.51110931761002</v>
      </c>
      <c r="G8" s="19">
        <f>YK_ALL!G8/DMLMLR</f>
        <v>279.37199832290003</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млрд. дол. США</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45716</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90.253504035260008</v>
      </c>
      <c r="C12" s="112">
        <f t="shared" si="1"/>
        <v>97.955877598960001</v>
      </c>
      <c r="D12" s="112">
        <f t="shared" si="1"/>
        <v>111.44992803012001</v>
      </c>
      <c r="E12" s="112">
        <f t="shared" si="1"/>
        <v>145.32087120896</v>
      </c>
      <c r="F12" s="112">
        <f t="shared" si="1"/>
        <v>166.05925130833998</v>
      </c>
      <c r="G12" s="112">
        <f t="shared" si="1"/>
        <v>169.08837600779998</v>
      </c>
      <c r="H12" s="35"/>
      <c r="I12" s="35"/>
      <c r="J12" s="35"/>
      <c r="K12" s="35"/>
      <c r="L12" s="35"/>
      <c r="M12" s="35"/>
      <c r="N12" s="35"/>
      <c r="O12" s="35"/>
      <c r="P12" s="35"/>
      <c r="Q12" s="35"/>
    </row>
    <row r="13" spans="1:19" s="40" customFormat="1" x14ac:dyDescent="0.3">
      <c r="A13" s="114" t="str">
        <f>YK_ALL!A13</f>
        <v>Державний борг</v>
      </c>
      <c r="B13" s="19">
        <f>YK_ALL!B13/DMLMLR</f>
        <v>79.903217077660003</v>
      </c>
      <c r="C13" s="19">
        <f>YK_ALL!C13/DMLMLR</f>
        <v>86.615691312519999</v>
      </c>
      <c r="D13" s="19">
        <f>YK_ALL!D13/DMLMLR</f>
        <v>101.59354286955001</v>
      </c>
      <c r="E13" s="19">
        <f>YK_ALL!E13/DMLMLR</f>
        <v>136.59196737241001</v>
      </c>
      <c r="F13" s="19">
        <f>YK_ALL!F13/DMLMLR</f>
        <v>159.19631191120999</v>
      </c>
      <c r="G13" s="19">
        <f>YK_ALL!G13/DMLMLR</f>
        <v>162.35879084801999</v>
      </c>
      <c r="H13" s="39"/>
      <c r="I13" s="39"/>
      <c r="J13" s="39"/>
      <c r="K13" s="39"/>
      <c r="L13" s="39"/>
      <c r="M13" s="39"/>
      <c r="N13" s="39"/>
      <c r="O13" s="39"/>
      <c r="P13" s="39"/>
      <c r="Q13" s="39"/>
    </row>
    <row r="14" spans="1:19" s="40" customFormat="1" x14ac:dyDescent="0.3">
      <c r="A14" s="114" t="str">
        <f>YK_ALL!A14</f>
        <v>Гарантований державою борг</v>
      </c>
      <c r="B14" s="19">
        <f>YK_ALL!B14/DMLMLR</f>
        <v>10.3502869576</v>
      </c>
      <c r="C14" s="19">
        <f>YK_ALL!C14/DMLMLR</f>
        <v>11.34018628644</v>
      </c>
      <c r="D14" s="19">
        <f>YK_ALL!D14/DMLMLR</f>
        <v>9.8563851605699995</v>
      </c>
      <c r="E14" s="19">
        <f>YK_ALL!E14/DMLMLR</f>
        <v>8.7289038365499998</v>
      </c>
      <c r="F14" s="19">
        <f>YK_ALL!F14/DMLMLR</f>
        <v>6.8629393971299999</v>
      </c>
      <c r="G14" s="19">
        <f>YK_ALL!G14/DMLMLR</f>
        <v>6.72958515978</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45716</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YK_ALL!A19</f>
        <v>Державний борг</v>
      </c>
      <c r="B19" s="19">
        <f>YK_ALL!B19</f>
        <v>0.88532</v>
      </c>
      <c r="C19" s="19">
        <f>YK_ALL!C19</f>
        <v>0.88423200000000002</v>
      </c>
      <c r="D19" s="19">
        <f>YK_ALL!D19</f>
        <v>0.91156199999999998</v>
      </c>
      <c r="E19" s="19">
        <f>YK_ALL!E19</f>
        <v>0.93993400000000005</v>
      </c>
      <c r="F19" s="19">
        <f>YK_ALL!F19</f>
        <v>0.95867199999999997</v>
      </c>
      <c r="G19" s="19">
        <f>YK_ALL!G19</f>
        <v>0.96020099999999997</v>
      </c>
      <c r="H19" s="39"/>
      <c r="I19" s="39"/>
      <c r="J19" s="39"/>
      <c r="K19" s="39"/>
      <c r="L19" s="39"/>
      <c r="M19" s="39"/>
      <c r="N19" s="39"/>
      <c r="O19" s="39"/>
      <c r="P19" s="39"/>
      <c r="Q19" s="39"/>
    </row>
    <row r="20" spans="1:19" s="40" customFormat="1" x14ac:dyDescent="0.3">
      <c r="A20" s="114" t="str">
        <f>YK_ALL!A20</f>
        <v>Гарантований державою борг</v>
      </c>
      <c r="B20" s="19">
        <f>YK_ALL!B20</f>
        <v>0.11468</v>
      </c>
      <c r="C20" s="19">
        <f>YK_ALL!C20</f>
        <v>0.115768</v>
      </c>
      <c r="D20" s="19">
        <f>YK_ALL!D20</f>
        <v>8.8438000000000003E-2</v>
      </c>
      <c r="E20" s="19">
        <f>YK_ALL!E20</f>
        <v>6.0066000000000001E-2</v>
      </c>
      <c r="F20" s="19">
        <f>YK_ALL!F20</f>
        <v>4.1327999999999997E-2</v>
      </c>
      <c r="G20" s="19">
        <f>YK_ALL!G20</f>
        <v>3.9799000000000001E-2</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G4" s="27" t="str">
        <f>VALUAH</f>
        <v>млрд. грн</v>
      </c>
    </row>
    <row r="5" spans="1:19" s="14" customFormat="1" x14ac:dyDescent="0.25">
      <c r="A5" s="12"/>
      <c r="B5" s="13">
        <v>44196</v>
      </c>
      <c r="C5" s="13">
        <v>44561</v>
      </c>
      <c r="D5" s="13">
        <v>44926</v>
      </c>
      <c r="E5" s="13">
        <v>45291</v>
      </c>
      <c r="F5" s="13">
        <v>45657</v>
      </c>
      <c r="G5" s="13">
        <v>45716</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6980.96486574559</v>
      </c>
      <c r="G6" s="112">
        <f t="shared" si="0"/>
        <v>7019.5348415889603</v>
      </c>
    </row>
    <row r="7" spans="1:19" s="38" customFormat="1" outlineLevel="1" x14ac:dyDescent="0.25">
      <c r="A7" s="160" t="s">
        <v>1</v>
      </c>
      <c r="B7" s="166">
        <v>2259.2315015926201</v>
      </c>
      <c r="C7" s="166">
        <v>2362.7201507571899</v>
      </c>
      <c r="D7" s="166">
        <v>3715.1336317660898</v>
      </c>
      <c r="E7" s="166">
        <v>5188.0907415274296</v>
      </c>
      <c r="F7" s="166">
        <v>6692.4537564279799</v>
      </c>
      <c r="G7" s="166">
        <v>6740.16284326606</v>
      </c>
    </row>
    <row r="8" spans="1:19" s="38" customFormat="1" outlineLevel="1" x14ac:dyDescent="0.25">
      <c r="A8" s="160" t="s">
        <v>2</v>
      </c>
      <c r="B8" s="166">
        <v>292.65022361158998</v>
      </c>
      <c r="C8" s="166">
        <v>309.33986955858001</v>
      </c>
      <c r="D8" s="166">
        <v>360.43420638318003</v>
      </c>
      <c r="E8" s="166">
        <v>331.54471708272001</v>
      </c>
      <c r="F8" s="166">
        <v>288.51110931761002</v>
      </c>
      <c r="G8" s="166">
        <v>279.37199832290003</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27" t="str">
        <f>VALUSD</f>
        <v>млрд. дол. США</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45716</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90.253504035260008</v>
      </c>
      <c r="C12" s="112">
        <f t="shared" si="1"/>
        <v>97.955877598960001</v>
      </c>
      <c r="D12" s="112">
        <f t="shared" si="1"/>
        <v>111.44992803012001</v>
      </c>
      <c r="E12" s="112">
        <f t="shared" si="1"/>
        <v>145.32087120896</v>
      </c>
      <c r="F12" s="112">
        <f t="shared" si="1"/>
        <v>166.05925130833998</v>
      </c>
      <c r="G12" s="112">
        <f t="shared" si="1"/>
        <v>169.08837600779998</v>
      </c>
      <c r="H12" s="35"/>
      <c r="I12" s="35"/>
      <c r="J12" s="35"/>
      <c r="K12" s="35"/>
      <c r="L12" s="35"/>
      <c r="M12" s="35"/>
      <c r="N12" s="35"/>
      <c r="O12" s="35"/>
      <c r="P12" s="35"/>
      <c r="Q12" s="35"/>
    </row>
    <row r="13" spans="1:19" s="40" customFormat="1" outlineLevel="1" x14ac:dyDescent="0.3">
      <c r="A13" s="160" t="s">
        <v>1</v>
      </c>
      <c r="B13" s="161">
        <v>79.903217077660003</v>
      </c>
      <c r="C13" s="161">
        <v>86.615691312519999</v>
      </c>
      <c r="D13" s="161">
        <v>101.59354286955001</v>
      </c>
      <c r="E13" s="161">
        <v>136.59196737241001</v>
      </c>
      <c r="F13" s="161">
        <v>159.19631191120999</v>
      </c>
      <c r="G13" s="161">
        <v>162.35879084801999</v>
      </c>
      <c r="H13" s="39"/>
      <c r="I13" s="39"/>
      <c r="J13" s="39"/>
      <c r="K13" s="39"/>
      <c r="L13" s="39"/>
      <c r="M13" s="39"/>
      <c r="N13" s="39"/>
      <c r="O13" s="39"/>
      <c r="P13" s="39"/>
      <c r="Q13" s="39"/>
    </row>
    <row r="14" spans="1:19" s="40" customFormat="1" outlineLevel="1" x14ac:dyDescent="0.3">
      <c r="A14" s="160" t="s">
        <v>2</v>
      </c>
      <c r="B14" s="161">
        <v>10.3502869576</v>
      </c>
      <c r="C14" s="161">
        <v>11.34018628644</v>
      </c>
      <c r="D14" s="161">
        <v>9.8563851605699995</v>
      </c>
      <c r="E14" s="161">
        <v>8.7289038365499998</v>
      </c>
      <c r="F14" s="161">
        <v>6.8629393971299999</v>
      </c>
      <c r="G14" s="161">
        <v>6.72958515978</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45716</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0" t="s">
        <v>1</v>
      </c>
      <c r="B19" s="164">
        <v>0.88532</v>
      </c>
      <c r="C19" s="164">
        <v>0.88423200000000002</v>
      </c>
      <c r="D19" s="164">
        <v>0.91156199999999998</v>
      </c>
      <c r="E19" s="164">
        <v>0.93993400000000005</v>
      </c>
      <c r="F19" s="164">
        <v>0.95867199999999997</v>
      </c>
      <c r="G19" s="164">
        <v>0.96020099999999997</v>
      </c>
      <c r="H19" s="39"/>
      <c r="I19" s="39"/>
      <c r="J19" s="39"/>
      <c r="K19" s="39"/>
      <c r="L19" s="39"/>
      <c r="M19" s="39"/>
      <c r="N19" s="39"/>
      <c r="O19" s="39"/>
      <c r="P19" s="39"/>
      <c r="Q19" s="39"/>
    </row>
    <row r="20" spans="1:19" s="40" customFormat="1" outlineLevel="1" x14ac:dyDescent="0.3">
      <c r="A20" s="160" t="s">
        <v>2</v>
      </c>
      <c r="B20" s="164">
        <v>0.11468</v>
      </c>
      <c r="C20" s="164">
        <v>0.115768</v>
      </c>
      <c r="D20" s="164">
        <v>8.8438000000000003E-2</v>
      </c>
      <c r="E20" s="164">
        <v>6.0066000000000001E-2</v>
      </c>
      <c r="F20" s="164">
        <v>4.1327999999999997E-2</v>
      </c>
      <c r="G20" s="164">
        <v>3.9799000000000001E-2</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2" customWidth="1"/>
    <col min="2" max="7" width="16.2695312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VALUAH</f>
        <v>млрд. грн</v>
      </c>
    </row>
    <row r="5" spans="1:19" s="14" customFormat="1" x14ac:dyDescent="0.25">
      <c r="A5" s="12"/>
      <c r="B5" s="13">
        <v>44196</v>
      </c>
      <c r="C5" s="13">
        <v>44561</v>
      </c>
      <c r="D5" s="13">
        <v>44926</v>
      </c>
      <c r="E5" s="13">
        <v>45291</v>
      </c>
      <c r="F5" s="13">
        <v>45657</v>
      </c>
      <c r="G5" s="13">
        <v>45716</v>
      </c>
    </row>
    <row r="6" spans="1: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G6" si="0">B$90+B$7</f>
        <v>2551.8817252042099</v>
      </c>
      <c r="C6" s="21">
        <f t="shared" si="0"/>
        <v>2672.0600203157701</v>
      </c>
      <c r="D6" s="21">
        <f t="shared" si="0"/>
        <v>4075.5678381492708</v>
      </c>
      <c r="E6" s="21">
        <f t="shared" si="0"/>
        <v>5519.6354586101506</v>
      </c>
      <c r="F6" s="21">
        <f t="shared" si="0"/>
        <v>6980.9648657455909</v>
      </c>
      <c r="G6" s="21">
        <f t="shared" si="0"/>
        <v>7019.5348415889603</v>
      </c>
    </row>
    <row r="7" spans="1:19" s="16" customFormat="1" ht="14.5" outlineLevel="1" x14ac:dyDescent="0.25">
      <c r="A7" s="182" t="s">
        <v>1</v>
      </c>
      <c r="B7" s="183">
        <f t="shared" ref="B7:G7" si="1">B$8+B$46</f>
        <v>2259.2315015926201</v>
      </c>
      <c r="C7" s="183">
        <f t="shared" si="1"/>
        <v>2362.7201507571899</v>
      </c>
      <c r="D7" s="183">
        <f t="shared" si="1"/>
        <v>3715.1336317660907</v>
      </c>
      <c r="E7" s="183">
        <f t="shared" si="1"/>
        <v>5188.0907415274305</v>
      </c>
      <c r="F7" s="183">
        <f t="shared" si="1"/>
        <v>6692.4537564279808</v>
      </c>
      <c r="G7" s="183">
        <f t="shared" si="1"/>
        <v>6740.16284326606</v>
      </c>
    </row>
    <row r="8" spans="1:19" s="17" customFormat="1" ht="14.5" outlineLevel="2" x14ac:dyDescent="0.25">
      <c r="A8" s="184" t="s">
        <v>57</v>
      </c>
      <c r="B8" s="185">
        <f t="shared" ref="B8:G8" si="2">B$9+B$44</f>
        <v>1000.7098766559003</v>
      </c>
      <c r="C8" s="185">
        <f t="shared" si="2"/>
        <v>1062.5590347498203</v>
      </c>
      <c r="D8" s="185">
        <f t="shared" si="2"/>
        <v>1389.6902523549404</v>
      </c>
      <c r="E8" s="185">
        <f t="shared" si="2"/>
        <v>1587.6975846597604</v>
      </c>
      <c r="F8" s="185">
        <f t="shared" si="2"/>
        <v>1863.132117454179</v>
      </c>
      <c r="G8" s="185">
        <f t="shared" si="2"/>
        <v>1839.6172841585794</v>
      </c>
    </row>
    <row r="9" spans="1:19" s="18" customFormat="1" outlineLevel="3" x14ac:dyDescent="0.25">
      <c r="A9" s="172" t="s">
        <v>58</v>
      </c>
      <c r="B9" s="173">
        <f t="shared" ref="B9:G9" si="3">SUM(B$10:B$43)</f>
        <v>998.72608881820031</v>
      </c>
      <c r="C9" s="173">
        <f t="shared" si="3"/>
        <v>1060.7074994346003</v>
      </c>
      <c r="D9" s="173">
        <f t="shared" si="3"/>
        <v>1387.9709695622005</v>
      </c>
      <c r="E9" s="173">
        <f t="shared" si="3"/>
        <v>1586.1105543895005</v>
      </c>
      <c r="F9" s="173">
        <f t="shared" si="3"/>
        <v>1861.6773397063989</v>
      </c>
      <c r="G9" s="173">
        <f t="shared" si="3"/>
        <v>1838.1625064107993</v>
      </c>
    </row>
    <row r="10" spans="1:19" s="38" customFormat="1" outlineLevel="4" x14ac:dyDescent="0.25">
      <c r="A10" s="174" t="s">
        <v>59</v>
      </c>
      <c r="B10" s="166">
        <v>71.771915000000007</v>
      </c>
      <c r="C10" s="166">
        <v>81.333449999999999</v>
      </c>
      <c r="D10" s="166">
        <v>81.333449999999999</v>
      </c>
      <c r="E10" s="166">
        <v>75.401431000000002</v>
      </c>
      <c r="F10" s="166">
        <v>58.630439000000003</v>
      </c>
      <c r="G10" s="166">
        <v>58.630439000000003</v>
      </c>
    </row>
    <row r="11" spans="1:19" outlineLevel="4" x14ac:dyDescent="0.3">
      <c r="A11" s="175" t="s">
        <v>60</v>
      </c>
      <c r="B11" s="176">
        <v>19.033000000000001</v>
      </c>
      <c r="C11" s="176">
        <v>17.533000000000001</v>
      </c>
      <c r="D11" s="176">
        <v>17.533000000000001</v>
      </c>
      <c r="E11" s="176">
        <v>17.533000000000001</v>
      </c>
      <c r="F11" s="176">
        <v>17.533000000000001</v>
      </c>
      <c r="G11" s="176">
        <v>17.533000000000001</v>
      </c>
      <c r="H11" s="26"/>
      <c r="I11" s="26"/>
      <c r="J11" s="26"/>
      <c r="K11" s="26"/>
      <c r="L11" s="26"/>
      <c r="M11" s="26"/>
      <c r="N11" s="26"/>
      <c r="O11" s="26"/>
      <c r="P11" s="26"/>
      <c r="Q11" s="26"/>
    </row>
    <row r="12" spans="1:19" outlineLevel="4" x14ac:dyDescent="0.3">
      <c r="A12" s="175" t="s">
        <v>61</v>
      </c>
      <c r="B12" s="176">
        <v>55.628160976399997</v>
      </c>
      <c r="C12" s="176">
        <v>95.914618630199996</v>
      </c>
      <c r="D12" s="176">
        <v>53.805816397400001</v>
      </c>
      <c r="E12" s="176">
        <v>124.26256048570001</v>
      </c>
      <c r="F12" s="176">
        <v>3.8132242193999999</v>
      </c>
      <c r="G12" s="176">
        <v>3.7756880077999999</v>
      </c>
      <c r="H12" s="26"/>
      <c r="I12" s="26"/>
      <c r="J12" s="26"/>
      <c r="K12" s="26"/>
      <c r="L12" s="26"/>
      <c r="M12" s="26"/>
      <c r="N12" s="26"/>
      <c r="O12" s="26"/>
      <c r="P12" s="26"/>
      <c r="Q12" s="26"/>
    </row>
    <row r="13" spans="1:19" outlineLevel="4" x14ac:dyDescent="0.3">
      <c r="A13" s="175" t="s">
        <v>62</v>
      </c>
      <c r="B13" s="176">
        <v>36.5</v>
      </c>
      <c r="C13" s="176">
        <v>36.5</v>
      </c>
      <c r="D13" s="176">
        <v>50</v>
      </c>
      <c r="E13" s="176">
        <v>50</v>
      </c>
      <c r="F13" s="176">
        <v>50</v>
      </c>
      <c r="G13" s="176">
        <v>50</v>
      </c>
      <c r="H13" s="26"/>
      <c r="I13" s="26"/>
      <c r="J13" s="26"/>
      <c r="K13" s="26"/>
      <c r="L13" s="26"/>
      <c r="M13" s="26"/>
      <c r="N13" s="26"/>
      <c r="O13" s="26"/>
      <c r="P13" s="26"/>
      <c r="Q13" s="26"/>
    </row>
    <row r="14" spans="1:19" outlineLevel="4" x14ac:dyDescent="0.3">
      <c r="A14" s="175" t="s">
        <v>63</v>
      </c>
      <c r="B14" s="176">
        <v>28.700001</v>
      </c>
      <c r="C14" s="176">
        <v>28.700001</v>
      </c>
      <c r="D14" s="176">
        <v>33.700001</v>
      </c>
      <c r="E14" s="176">
        <v>33.700001</v>
      </c>
      <c r="F14" s="176">
        <v>33.700001</v>
      </c>
      <c r="G14" s="176">
        <v>33.700001</v>
      </c>
      <c r="H14" s="26"/>
      <c r="I14" s="26"/>
      <c r="J14" s="26"/>
      <c r="K14" s="26"/>
      <c r="L14" s="26"/>
      <c r="M14" s="26"/>
      <c r="N14" s="26"/>
      <c r="O14" s="26"/>
      <c r="P14" s="26"/>
      <c r="Q14" s="26"/>
    </row>
    <row r="15" spans="1:19" outlineLevel="4" x14ac:dyDescent="0.3">
      <c r="A15" s="175" t="s">
        <v>64</v>
      </c>
      <c r="B15" s="176">
        <v>46.9</v>
      </c>
      <c r="C15" s="176">
        <v>46.9</v>
      </c>
      <c r="D15" s="176">
        <v>46.9</v>
      </c>
      <c r="E15" s="176">
        <v>46.9</v>
      </c>
      <c r="F15" s="176">
        <v>46.9</v>
      </c>
      <c r="G15" s="176">
        <v>46.9</v>
      </c>
      <c r="H15" s="26"/>
      <c r="I15" s="26"/>
      <c r="J15" s="26"/>
      <c r="K15" s="26"/>
      <c r="L15" s="26"/>
      <c r="M15" s="26"/>
      <c r="N15" s="26"/>
      <c r="O15" s="26"/>
      <c r="P15" s="26"/>
      <c r="Q15" s="26"/>
    </row>
    <row r="16" spans="1:19" outlineLevel="4" x14ac:dyDescent="0.3">
      <c r="A16" s="175" t="s">
        <v>65</v>
      </c>
      <c r="B16" s="176">
        <v>100.278657</v>
      </c>
      <c r="C16" s="176">
        <v>117.101957</v>
      </c>
      <c r="D16" s="176">
        <v>237.101957</v>
      </c>
      <c r="E16" s="176">
        <v>237.101957</v>
      </c>
      <c r="F16" s="176">
        <v>225.503117</v>
      </c>
      <c r="G16" s="176">
        <v>225.503117</v>
      </c>
      <c r="H16" s="26"/>
      <c r="I16" s="26"/>
      <c r="J16" s="26"/>
      <c r="K16" s="26"/>
      <c r="L16" s="26"/>
      <c r="M16" s="26"/>
      <c r="N16" s="26"/>
      <c r="O16" s="26"/>
      <c r="P16" s="26"/>
      <c r="Q16" s="26"/>
    </row>
    <row r="17" spans="1:17" outlineLevel="4" x14ac:dyDescent="0.3">
      <c r="A17" s="175" t="s">
        <v>66</v>
      </c>
      <c r="B17" s="176">
        <v>12.097744</v>
      </c>
      <c r="C17" s="176">
        <v>12.097744</v>
      </c>
      <c r="D17" s="176">
        <v>12.097744</v>
      </c>
      <c r="E17" s="176">
        <v>12.097744</v>
      </c>
      <c r="F17" s="176">
        <v>12.097744</v>
      </c>
      <c r="G17" s="176">
        <v>12.097744</v>
      </c>
      <c r="H17" s="26"/>
      <c r="I17" s="26"/>
      <c r="J17" s="26"/>
      <c r="K17" s="26"/>
      <c r="L17" s="26"/>
      <c r="M17" s="26"/>
      <c r="N17" s="26"/>
      <c r="O17" s="26"/>
      <c r="P17" s="26"/>
      <c r="Q17" s="26"/>
    </row>
    <row r="18" spans="1:17" outlineLevel="4" x14ac:dyDescent="0.3">
      <c r="A18" s="175" t="s">
        <v>67</v>
      </c>
      <c r="B18" s="176">
        <v>12.097744</v>
      </c>
      <c r="C18" s="176">
        <v>12.097744</v>
      </c>
      <c r="D18" s="176">
        <v>27.097743999999999</v>
      </c>
      <c r="E18" s="176">
        <v>27.097743999999999</v>
      </c>
      <c r="F18" s="176">
        <v>27.097743999999999</v>
      </c>
      <c r="G18" s="176">
        <v>27.097743999999999</v>
      </c>
      <c r="H18" s="26"/>
      <c r="I18" s="26"/>
      <c r="J18" s="26"/>
      <c r="K18" s="26"/>
      <c r="L18" s="26"/>
      <c r="M18" s="26"/>
      <c r="N18" s="26"/>
      <c r="O18" s="26"/>
      <c r="P18" s="26"/>
      <c r="Q18" s="26"/>
    </row>
    <row r="19" spans="1:17" outlineLevel="4" x14ac:dyDescent="0.3">
      <c r="A19" s="175" t="s">
        <v>68</v>
      </c>
      <c r="B19" s="176">
        <v>42.233933071199999</v>
      </c>
      <c r="C19" s="176">
        <v>80.791961688200004</v>
      </c>
      <c r="D19" s="176">
        <v>69.614992801400007</v>
      </c>
      <c r="E19" s="176">
        <v>57.311411851499997</v>
      </c>
      <c r="F19" s="176">
        <v>284.818024487</v>
      </c>
      <c r="G19" s="176">
        <v>283.235635403</v>
      </c>
      <c r="H19" s="26"/>
      <c r="I19" s="26"/>
      <c r="J19" s="26"/>
      <c r="K19" s="26"/>
      <c r="L19" s="26"/>
      <c r="M19" s="26"/>
      <c r="N19" s="26"/>
      <c r="O19" s="26"/>
      <c r="P19" s="26"/>
      <c r="Q19" s="26"/>
    </row>
    <row r="20" spans="1:17" outlineLevel="4" x14ac:dyDescent="0.3">
      <c r="A20" s="175" t="s">
        <v>69</v>
      </c>
      <c r="B20" s="176">
        <v>12.097744</v>
      </c>
      <c r="C20" s="176">
        <v>12.097744</v>
      </c>
      <c r="D20" s="176">
        <v>12.097744</v>
      </c>
      <c r="E20" s="176">
        <v>12.097744</v>
      </c>
      <c r="F20" s="176">
        <v>12.097744</v>
      </c>
      <c r="G20" s="176">
        <v>12.097744</v>
      </c>
      <c r="H20" s="26"/>
      <c r="I20" s="26"/>
      <c r="J20" s="26"/>
      <c r="K20" s="26"/>
      <c r="L20" s="26"/>
      <c r="M20" s="26"/>
      <c r="N20" s="26"/>
      <c r="O20" s="26"/>
      <c r="P20" s="26"/>
      <c r="Q20" s="26"/>
    </row>
    <row r="21" spans="1:17" outlineLevel="4" x14ac:dyDescent="0.3">
      <c r="A21" s="175" t="s">
        <v>70</v>
      </c>
      <c r="B21" s="176">
        <v>12.097744</v>
      </c>
      <c r="C21" s="176">
        <v>12.097744</v>
      </c>
      <c r="D21" s="176">
        <v>12.097744</v>
      </c>
      <c r="E21" s="176">
        <v>12.097744</v>
      </c>
      <c r="F21" s="176">
        <v>12.097744</v>
      </c>
      <c r="G21" s="176">
        <v>12.097744</v>
      </c>
      <c r="H21" s="26"/>
      <c r="I21" s="26"/>
      <c r="J21" s="26"/>
      <c r="K21" s="26"/>
      <c r="L21" s="26"/>
      <c r="M21" s="26"/>
      <c r="N21" s="26"/>
      <c r="O21" s="26"/>
      <c r="P21" s="26"/>
      <c r="Q21" s="26"/>
    </row>
    <row r="22" spans="1:17" outlineLevel="4" x14ac:dyDescent="0.3">
      <c r="A22" s="175" t="s">
        <v>71</v>
      </c>
      <c r="B22" s="176">
        <v>102.290142528</v>
      </c>
      <c r="C22" s="176">
        <v>61.134827581400003</v>
      </c>
      <c r="D22" s="176">
        <v>60.071426971400001</v>
      </c>
      <c r="E22" s="176">
        <v>192.71749500000001</v>
      </c>
      <c r="F22" s="176">
        <v>285.63223799999997</v>
      </c>
      <c r="G22" s="176">
        <v>274.77464800000001</v>
      </c>
      <c r="H22" s="26"/>
      <c r="I22" s="26"/>
      <c r="J22" s="26"/>
      <c r="K22" s="26"/>
      <c r="L22" s="26"/>
      <c r="M22" s="26"/>
      <c r="N22" s="26"/>
      <c r="O22" s="26"/>
      <c r="P22" s="26"/>
      <c r="Q22" s="26"/>
    </row>
    <row r="23" spans="1:17" outlineLevel="4" x14ac:dyDescent="0.3">
      <c r="A23" s="175" t="s">
        <v>72</v>
      </c>
      <c r="B23" s="176">
        <v>12.097744</v>
      </c>
      <c r="C23" s="176">
        <v>12.097744</v>
      </c>
      <c r="D23" s="176">
        <v>12.097744</v>
      </c>
      <c r="E23" s="176">
        <v>12.097744</v>
      </c>
      <c r="F23" s="176">
        <v>12.097744</v>
      </c>
      <c r="G23" s="176">
        <v>12.097744</v>
      </c>
      <c r="H23" s="26"/>
      <c r="I23" s="26"/>
      <c r="J23" s="26"/>
      <c r="K23" s="26"/>
      <c r="L23" s="26"/>
      <c r="M23" s="26"/>
      <c r="N23" s="26"/>
      <c r="O23" s="26"/>
      <c r="P23" s="26"/>
      <c r="Q23" s="26"/>
    </row>
    <row r="24" spans="1:17" outlineLevel="4" x14ac:dyDescent="0.3">
      <c r="A24" s="175" t="s">
        <v>73</v>
      </c>
      <c r="B24" s="176">
        <v>12.097744</v>
      </c>
      <c r="C24" s="176">
        <v>12.097744</v>
      </c>
      <c r="D24" s="176">
        <v>12.097744</v>
      </c>
      <c r="E24" s="176">
        <v>12.097744</v>
      </c>
      <c r="F24" s="176">
        <v>12.097744</v>
      </c>
      <c r="G24" s="176">
        <v>12.097744</v>
      </c>
      <c r="H24" s="26"/>
      <c r="I24" s="26"/>
      <c r="J24" s="26"/>
      <c r="K24" s="26"/>
      <c r="L24" s="26"/>
      <c r="M24" s="26"/>
      <c r="N24" s="26"/>
      <c r="O24" s="26"/>
      <c r="P24" s="26"/>
      <c r="Q24" s="26"/>
    </row>
    <row r="25" spans="1:17" outlineLevel="4" x14ac:dyDescent="0.3">
      <c r="A25" s="175" t="s">
        <v>74</v>
      </c>
      <c r="B25" s="176">
        <v>12.097744</v>
      </c>
      <c r="C25" s="176">
        <v>12.097744</v>
      </c>
      <c r="D25" s="176">
        <v>12.097744</v>
      </c>
      <c r="E25" s="176">
        <v>12.097744</v>
      </c>
      <c r="F25" s="176">
        <v>12.097744</v>
      </c>
      <c r="G25" s="176">
        <v>12.097744</v>
      </c>
      <c r="H25" s="26"/>
      <c r="I25" s="26"/>
      <c r="J25" s="26"/>
      <c r="K25" s="26"/>
      <c r="L25" s="26"/>
      <c r="M25" s="26"/>
      <c r="N25" s="26"/>
      <c r="O25" s="26"/>
      <c r="P25" s="26"/>
      <c r="Q25" s="26"/>
    </row>
    <row r="26" spans="1:17" outlineLevel="4" x14ac:dyDescent="0.3">
      <c r="A26" s="175" t="s">
        <v>75</v>
      </c>
      <c r="B26" s="176">
        <v>12.097744</v>
      </c>
      <c r="C26" s="176">
        <v>12.097744</v>
      </c>
      <c r="D26" s="176">
        <v>12.097744</v>
      </c>
      <c r="E26" s="176">
        <v>12.097744</v>
      </c>
      <c r="F26" s="176">
        <v>12.097744</v>
      </c>
      <c r="G26" s="176">
        <v>12.097744</v>
      </c>
      <c r="H26" s="26"/>
      <c r="I26" s="26"/>
      <c r="J26" s="26"/>
      <c r="K26" s="26"/>
      <c r="L26" s="26"/>
      <c r="M26" s="26"/>
      <c r="N26" s="26"/>
      <c r="O26" s="26"/>
      <c r="P26" s="26"/>
      <c r="Q26" s="26"/>
    </row>
    <row r="27" spans="1:17" outlineLevel="4" x14ac:dyDescent="0.3">
      <c r="A27" s="175" t="s">
        <v>76</v>
      </c>
      <c r="B27" s="176">
        <v>12.097744</v>
      </c>
      <c r="C27" s="176">
        <v>12.097744</v>
      </c>
      <c r="D27" s="176">
        <v>12.097744</v>
      </c>
      <c r="E27" s="176">
        <v>12.097744</v>
      </c>
      <c r="F27" s="176">
        <v>12.097744</v>
      </c>
      <c r="G27" s="176">
        <v>12.097744</v>
      </c>
      <c r="H27" s="26"/>
      <c r="I27" s="26"/>
      <c r="J27" s="26"/>
      <c r="K27" s="26"/>
      <c r="L27" s="26"/>
      <c r="M27" s="26"/>
      <c r="N27" s="26"/>
      <c r="O27" s="26"/>
      <c r="P27" s="26"/>
      <c r="Q27" s="26"/>
    </row>
    <row r="28" spans="1:17" outlineLevel="4" x14ac:dyDescent="0.3">
      <c r="A28" s="175" t="s">
        <v>77</v>
      </c>
      <c r="B28" s="176">
        <v>12.097744</v>
      </c>
      <c r="C28" s="176">
        <v>12.097744</v>
      </c>
      <c r="D28" s="176">
        <v>12.097744</v>
      </c>
      <c r="E28" s="176">
        <v>12.097744</v>
      </c>
      <c r="F28" s="176">
        <v>12.097744</v>
      </c>
      <c r="G28" s="176">
        <v>12.097744</v>
      </c>
      <c r="H28" s="26"/>
      <c r="I28" s="26"/>
      <c r="J28" s="26"/>
      <c r="K28" s="26"/>
      <c r="L28" s="26"/>
      <c r="M28" s="26"/>
      <c r="N28" s="26"/>
      <c r="O28" s="26"/>
      <c r="P28" s="26"/>
      <c r="Q28" s="26"/>
    </row>
    <row r="29" spans="1:17" outlineLevel="4" x14ac:dyDescent="0.3">
      <c r="A29" s="175" t="s">
        <v>78</v>
      </c>
      <c r="B29" s="176">
        <v>12.097744</v>
      </c>
      <c r="C29" s="176">
        <v>12.097744</v>
      </c>
      <c r="D29" s="176">
        <v>12.097744</v>
      </c>
      <c r="E29" s="176">
        <v>12.097744</v>
      </c>
      <c r="F29" s="176">
        <v>12.097744</v>
      </c>
      <c r="G29" s="176">
        <v>12.097744</v>
      </c>
      <c r="H29" s="26"/>
      <c r="I29" s="26"/>
      <c r="J29" s="26"/>
      <c r="K29" s="26"/>
      <c r="L29" s="26"/>
      <c r="M29" s="26"/>
      <c r="N29" s="26"/>
      <c r="O29" s="26"/>
      <c r="P29" s="26"/>
      <c r="Q29" s="26"/>
    </row>
    <row r="30" spans="1:17" outlineLevel="4" x14ac:dyDescent="0.3">
      <c r="A30" s="175" t="s">
        <v>79</v>
      </c>
      <c r="B30" s="176">
        <v>12.097744</v>
      </c>
      <c r="C30" s="176">
        <v>12.097744</v>
      </c>
      <c r="D30" s="176">
        <v>12.097744</v>
      </c>
      <c r="E30" s="176">
        <v>12.097744</v>
      </c>
      <c r="F30" s="176">
        <v>12.097744</v>
      </c>
      <c r="G30" s="176">
        <v>12.097744</v>
      </c>
      <c r="H30" s="26"/>
      <c r="I30" s="26"/>
      <c r="J30" s="26"/>
      <c r="K30" s="26"/>
      <c r="L30" s="26"/>
      <c r="M30" s="26"/>
      <c r="N30" s="26"/>
      <c r="O30" s="26"/>
      <c r="P30" s="26"/>
      <c r="Q30" s="26"/>
    </row>
    <row r="31" spans="1:17" outlineLevel="4" x14ac:dyDescent="0.3">
      <c r="A31" s="175" t="s">
        <v>80</v>
      </c>
      <c r="B31" s="176">
        <v>12.097744</v>
      </c>
      <c r="C31" s="176">
        <v>12.097744</v>
      </c>
      <c r="D31" s="176">
        <v>12.097744</v>
      </c>
      <c r="E31" s="176">
        <v>12.097744</v>
      </c>
      <c r="F31" s="176">
        <v>12.097744</v>
      </c>
      <c r="G31" s="176">
        <v>12.097744</v>
      </c>
      <c r="H31" s="26"/>
      <c r="I31" s="26"/>
      <c r="J31" s="26"/>
      <c r="K31" s="26"/>
      <c r="L31" s="26"/>
      <c r="M31" s="26"/>
      <c r="N31" s="26"/>
      <c r="O31" s="26"/>
      <c r="P31" s="26"/>
      <c r="Q31" s="26"/>
    </row>
    <row r="32" spans="1:17" outlineLevel="4" x14ac:dyDescent="0.3">
      <c r="A32" s="175" t="s">
        <v>81</v>
      </c>
      <c r="B32" s="176">
        <v>12.097744</v>
      </c>
      <c r="C32" s="176">
        <v>12.097744</v>
      </c>
      <c r="D32" s="176">
        <v>12.097744</v>
      </c>
      <c r="E32" s="176">
        <v>12.097744</v>
      </c>
      <c r="F32" s="176">
        <v>12.097744</v>
      </c>
      <c r="G32" s="176">
        <v>12.097744</v>
      </c>
      <c r="H32" s="26"/>
      <c r="I32" s="26"/>
      <c r="J32" s="26"/>
      <c r="K32" s="26"/>
      <c r="L32" s="26"/>
      <c r="M32" s="26"/>
      <c r="N32" s="26"/>
      <c r="O32" s="26"/>
      <c r="P32" s="26"/>
      <c r="Q32" s="26"/>
    </row>
    <row r="33" spans="1:17" outlineLevel="4" x14ac:dyDescent="0.3">
      <c r="A33" s="175" t="s">
        <v>82</v>
      </c>
      <c r="B33" s="176">
        <v>33.438972800999998</v>
      </c>
      <c r="C33" s="176">
        <v>1.1224285348</v>
      </c>
      <c r="D33" s="176">
        <v>0</v>
      </c>
      <c r="E33" s="176">
        <v>0</v>
      </c>
      <c r="F33" s="176">
        <v>0</v>
      </c>
      <c r="G33" s="176">
        <v>0</v>
      </c>
      <c r="H33" s="26"/>
      <c r="I33" s="26"/>
      <c r="J33" s="26"/>
      <c r="K33" s="26"/>
      <c r="L33" s="26"/>
      <c r="M33" s="26"/>
      <c r="N33" s="26"/>
      <c r="O33" s="26"/>
      <c r="P33" s="26"/>
      <c r="Q33" s="26"/>
    </row>
    <row r="34" spans="1:17" outlineLevel="4" x14ac:dyDescent="0.3">
      <c r="A34" s="175" t="s">
        <v>83</v>
      </c>
      <c r="B34" s="176">
        <v>61.000111877599998</v>
      </c>
      <c r="C34" s="176">
        <v>91.468603000000002</v>
      </c>
      <c r="D34" s="176">
        <v>41.488599000000001</v>
      </c>
      <c r="E34" s="176">
        <v>126.120059</v>
      </c>
      <c r="F34" s="176">
        <v>284.55799400000001</v>
      </c>
      <c r="G34" s="176">
        <v>294.60108300000002</v>
      </c>
      <c r="H34" s="26"/>
      <c r="I34" s="26"/>
      <c r="J34" s="26"/>
      <c r="K34" s="26"/>
      <c r="L34" s="26"/>
      <c r="M34" s="26"/>
      <c r="N34" s="26"/>
      <c r="O34" s="26"/>
      <c r="P34" s="26"/>
      <c r="Q34" s="26"/>
    </row>
    <row r="35" spans="1:17" outlineLevel="4" x14ac:dyDescent="0.3">
      <c r="A35" s="175" t="s">
        <v>84</v>
      </c>
      <c r="B35" s="176">
        <v>12.097751000000001</v>
      </c>
      <c r="C35" s="176">
        <v>12.097751000000001</v>
      </c>
      <c r="D35" s="176">
        <v>257.09775100000002</v>
      </c>
      <c r="E35" s="176">
        <v>257.09775100000002</v>
      </c>
      <c r="F35" s="176">
        <v>257.09775100000002</v>
      </c>
      <c r="G35" s="176">
        <v>257.09775100000002</v>
      </c>
      <c r="H35" s="26"/>
      <c r="I35" s="26"/>
      <c r="J35" s="26"/>
      <c r="K35" s="26"/>
      <c r="L35" s="26"/>
      <c r="M35" s="26"/>
      <c r="N35" s="26"/>
      <c r="O35" s="26"/>
      <c r="P35" s="26"/>
      <c r="Q35" s="26"/>
    </row>
    <row r="36" spans="1:17" outlineLevel="4" x14ac:dyDescent="0.3">
      <c r="A36" s="175" t="s">
        <v>85</v>
      </c>
      <c r="B36" s="176">
        <v>18.918331999999999</v>
      </c>
      <c r="C36" s="176">
        <v>42.151356999999997</v>
      </c>
      <c r="D36" s="176">
        <v>49.921956999999999</v>
      </c>
      <c r="E36" s="176">
        <v>22.5396</v>
      </c>
      <c r="F36" s="176">
        <v>16.191801000000002</v>
      </c>
      <c r="G36" s="176">
        <v>36.191800999999998</v>
      </c>
      <c r="H36" s="26"/>
      <c r="I36" s="26"/>
      <c r="J36" s="26"/>
      <c r="K36" s="26"/>
      <c r="L36" s="26"/>
      <c r="M36" s="26"/>
      <c r="N36" s="26"/>
      <c r="O36" s="26"/>
      <c r="P36" s="26"/>
      <c r="Q36" s="26"/>
    </row>
    <row r="37" spans="1:17" outlineLevel="4" x14ac:dyDescent="0.3">
      <c r="A37" s="175" t="s">
        <v>86</v>
      </c>
      <c r="B37" s="176">
        <v>57.979410999999999</v>
      </c>
      <c r="C37" s="176">
        <v>51.468836000000003</v>
      </c>
      <c r="D37" s="176">
        <v>67.473926000000006</v>
      </c>
      <c r="E37" s="176">
        <v>41.069235999999997</v>
      </c>
      <c r="F37" s="176">
        <v>46.069235999999997</v>
      </c>
      <c r="G37" s="176">
        <v>46.069235999999997</v>
      </c>
      <c r="H37" s="26"/>
      <c r="I37" s="26"/>
      <c r="J37" s="26"/>
      <c r="K37" s="26"/>
      <c r="L37" s="26"/>
      <c r="M37" s="26"/>
      <c r="N37" s="26"/>
      <c r="O37" s="26"/>
      <c r="P37" s="26"/>
      <c r="Q37" s="26"/>
    </row>
    <row r="38" spans="1:17" outlineLevel="4" x14ac:dyDescent="0.3">
      <c r="A38" s="175" t="s">
        <v>87</v>
      </c>
      <c r="B38" s="176">
        <v>11.184692</v>
      </c>
      <c r="C38" s="176">
        <v>26.571145999999999</v>
      </c>
      <c r="D38" s="176">
        <v>46.997578392000001</v>
      </c>
      <c r="E38" s="176">
        <v>0</v>
      </c>
      <c r="F38" s="176">
        <v>0</v>
      </c>
      <c r="G38" s="176">
        <v>0</v>
      </c>
      <c r="H38" s="26"/>
      <c r="I38" s="26"/>
      <c r="J38" s="26"/>
      <c r="K38" s="26"/>
      <c r="L38" s="26"/>
      <c r="M38" s="26"/>
      <c r="N38" s="26"/>
      <c r="O38" s="26"/>
      <c r="P38" s="26"/>
      <c r="Q38" s="26"/>
    </row>
    <row r="39" spans="1:17" outlineLevel="4" x14ac:dyDescent="0.3">
      <c r="A39" s="175" t="s">
        <v>88</v>
      </c>
      <c r="B39" s="176">
        <v>46.880406999999998</v>
      </c>
      <c r="C39" s="176">
        <v>41.080407000000001</v>
      </c>
      <c r="D39" s="176">
        <v>41.080407000000001</v>
      </c>
      <c r="E39" s="176">
        <v>41.080407000000001</v>
      </c>
      <c r="F39" s="176">
        <v>41.080407000000001</v>
      </c>
      <c r="G39" s="176">
        <v>0</v>
      </c>
      <c r="H39" s="26"/>
      <c r="I39" s="26"/>
      <c r="J39" s="26"/>
      <c r="K39" s="26"/>
      <c r="L39" s="26"/>
      <c r="M39" s="26"/>
      <c r="N39" s="26"/>
      <c r="O39" s="26"/>
      <c r="P39" s="26"/>
      <c r="Q39" s="26"/>
    </row>
    <row r="40" spans="1:17" outlineLevel="4" x14ac:dyDescent="0.3">
      <c r="A40" s="175" t="s">
        <v>89</v>
      </c>
      <c r="B40" s="176">
        <v>17.245816000000001</v>
      </c>
      <c r="C40" s="176">
        <v>23.968738999999999</v>
      </c>
      <c r="D40" s="176">
        <v>21.481691000000001</v>
      </c>
      <c r="E40" s="176">
        <v>17.781690999999999</v>
      </c>
      <c r="F40" s="176">
        <v>17.781690999999999</v>
      </c>
      <c r="G40" s="176">
        <v>17.781690999999999</v>
      </c>
      <c r="H40" s="26"/>
      <c r="I40" s="26"/>
      <c r="J40" s="26"/>
      <c r="K40" s="26"/>
      <c r="L40" s="26"/>
      <c r="M40" s="26"/>
      <c r="N40" s="26"/>
      <c r="O40" s="26"/>
      <c r="P40" s="26"/>
      <c r="Q40" s="26"/>
    </row>
    <row r="41" spans="1:17" outlineLevel="4" x14ac:dyDescent="0.3">
      <c r="A41" s="175" t="s">
        <v>90</v>
      </c>
      <c r="B41" s="176">
        <v>17.5</v>
      </c>
      <c r="C41" s="176">
        <v>17.5</v>
      </c>
      <c r="D41" s="176">
        <v>10</v>
      </c>
      <c r="E41" s="176">
        <v>2.5</v>
      </c>
      <c r="F41" s="176">
        <v>2.5</v>
      </c>
      <c r="G41" s="176">
        <v>2.5</v>
      </c>
      <c r="H41" s="26"/>
      <c r="I41" s="26"/>
      <c r="J41" s="26"/>
      <c r="K41" s="26"/>
      <c r="L41" s="26"/>
      <c r="M41" s="26"/>
      <c r="N41" s="26"/>
      <c r="O41" s="26"/>
      <c r="P41" s="26"/>
      <c r="Q41" s="26"/>
    </row>
    <row r="42" spans="1:17" outlineLevel="4" x14ac:dyDescent="0.3">
      <c r="A42" s="175" t="s">
        <v>91</v>
      </c>
      <c r="B42" s="176">
        <v>31.776369563999999</v>
      </c>
      <c r="C42" s="176">
        <v>0</v>
      </c>
      <c r="D42" s="176">
        <v>0</v>
      </c>
      <c r="E42" s="176">
        <v>45.625538052300001</v>
      </c>
      <c r="F42" s="176">
        <v>0</v>
      </c>
      <c r="G42" s="176">
        <v>0</v>
      </c>
      <c r="H42" s="26"/>
      <c r="I42" s="26"/>
      <c r="J42" s="26"/>
      <c r="K42" s="26"/>
      <c r="L42" s="26"/>
      <c r="M42" s="26"/>
      <c r="N42" s="26"/>
      <c r="O42" s="26"/>
      <c r="P42" s="26"/>
      <c r="Q42" s="26"/>
    </row>
    <row r="43" spans="1:17" outlineLevel="4" x14ac:dyDescent="0.3">
      <c r="A43" s="175" t="s">
        <v>92</v>
      </c>
      <c r="B43" s="176">
        <v>18</v>
      </c>
      <c r="C43" s="176">
        <v>18</v>
      </c>
      <c r="D43" s="176">
        <v>18</v>
      </c>
      <c r="E43" s="176">
        <v>13</v>
      </c>
      <c r="F43" s="176">
        <v>5.5</v>
      </c>
      <c r="G43" s="176">
        <v>5.5</v>
      </c>
      <c r="H43" s="26"/>
      <c r="I43" s="26"/>
      <c r="J43" s="26"/>
      <c r="K43" s="26"/>
      <c r="L43" s="26"/>
      <c r="M43" s="26"/>
      <c r="N43" s="26"/>
      <c r="O43" s="26"/>
      <c r="P43" s="26"/>
      <c r="Q43" s="26"/>
    </row>
    <row r="44" spans="1:17" outlineLevel="3" x14ac:dyDescent="0.3">
      <c r="A44" s="177" t="s">
        <v>93</v>
      </c>
      <c r="B44" s="176">
        <f t="shared" ref="B44:G44" si="4">SUM(B$45:B$45)</f>
        <v>1.9837878377</v>
      </c>
      <c r="C44" s="176">
        <f t="shared" si="4"/>
        <v>1.85153531522</v>
      </c>
      <c r="D44" s="176">
        <f t="shared" si="4"/>
        <v>1.7192827927400001</v>
      </c>
      <c r="E44" s="176">
        <f t="shared" si="4"/>
        <v>1.5870302702600001</v>
      </c>
      <c r="F44" s="176">
        <f t="shared" si="4"/>
        <v>1.4547777477799999</v>
      </c>
      <c r="G44" s="176">
        <f t="shared" si="4"/>
        <v>1.4547777477799999</v>
      </c>
      <c r="H44" s="26"/>
      <c r="I44" s="26"/>
      <c r="J44" s="26"/>
      <c r="K44" s="26"/>
      <c r="L44" s="26"/>
      <c r="M44" s="26"/>
      <c r="N44" s="26"/>
      <c r="O44" s="26"/>
      <c r="P44" s="26"/>
      <c r="Q44" s="26"/>
    </row>
    <row r="45" spans="1:17" outlineLevel="4" x14ac:dyDescent="0.3">
      <c r="A45" s="175" t="s">
        <v>94</v>
      </c>
      <c r="B45" s="176">
        <v>1.9837878377</v>
      </c>
      <c r="C45" s="176">
        <v>1.85153531522</v>
      </c>
      <c r="D45" s="176">
        <v>1.7192827927400001</v>
      </c>
      <c r="E45" s="176">
        <v>1.5870302702600001</v>
      </c>
      <c r="F45" s="176">
        <v>1.4547777477799999</v>
      </c>
      <c r="G45" s="176">
        <v>1.4547777477799999</v>
      </c>
      <c r="H45" s="26"/>
      <c r="I45" s="26"/>
      <c r="J45" s="26"/>
      <c r="K45" s="26"/>
      <c r="L45" s="26"/>
      <c r="M45" s="26"/>
      <c r="N45" s="26"/>
      <c r="O45" s="26"/>
      <c r="P45" s="26"/>
      <c r="Q45" s="26"/>
    </row>
    <row r="46" spans="1:17" ht="14.5" outlineLevel="2" x14ac:dyDescent="0.35">
      <c r="A46" s="186" t="s">
        <v>95</v>
      </c>
      <c r="B46" s="187">
        <f t="shared" ref="B46:G46" si="5">B$47+B$57+B$68+B$70+B$77+B$86+B$88</f>
        <v>1258.5216249367199</v>
      </c>
      <c r="C46" s="187">
        <f t="shared" si="5"/>
        <v>1300.1611160073699</v>
      </c>
      <c r="D46" s="187">
        <f t="shared" si="5"/>
        <v>2325.4433794111501</v>
      </c>
      <c r="E46" s="187">
        <f t="shared" si="5"/>
        <v>3600.3931568676699</v>
      </c>
      <c r="F46" s="187">
        <f t="shared" si="5"/>
        <v>4829.3216389738018</v>
      </c>
      <c r="G46" s="187">
        <f t="shared" si="5"/>
        <v>4900.5455591074806</v>
      </c>
      <c r="H46" s="26"/>
      <c r="I46" s="26"/>
      <c r="J46" s="26"/>
      <c r="K46" s="26"/>
      <c r="L46" s="26"/>
      <c r="M46" s="26"/>
      <c r="N46" s="26"/>
      <c r="O46" s="26"/>
      <c r="P46" s="26"/>
      <c r="Q46" s="26"/>
    </row>
    <row r="47" spans="1:17" outlineLevel="3" x14ac:dyDescent="0.3">
      <c r="A47" s="177" t="s">
        <v>96</v>
      </c>
      <c r="B47" s="176">
        <f t="shared" ref="B47:G47" si="6">SUM(B$48:B$56)</f>
        <v>443.31220499020998</v>
      </c>
      <c r="C47" s="176">
        <f t="shared" si="6"/>
        <v>463.16791086648999</v>
      </c>
      <c r="D47" s="176">
        <f t="shared" si="6"/>
        <v>1100.2564081594501</v>
      </c>
      <c r="E47" s="176">
        <f t="shared" si="6"/>
        <v>2252.5797122582303</v>
      </c>
      <c r="F47" s="176">
        <f t="shared" si="6"/>
        <v>3481.9848215421307</v>
      </c>
      <c r="G47" s="176">
        <f t="shared" si="6"/>
        <v>3568.0006062255402</v>
      </c>
      <c r="H47" s="26"/>
      <c r="I47" s="26"/>
      <c r="J47" s="26"/>
      <c r="K47" s="26"/>
      <c r="L47" s="26"/>
      <c r="M47" s="26"/>
      <c r="N47" s="26"/>
      <c r="O47" s="26"/>
      <c r="P47" s="26"/>
      <c r="Q47" s="26"/>
    </row>
    <row r="48" spans="1:17" outlineLevel="4" x14ac:dyDescent="0.3">
      <c r="A48" s="175" t="s">
        <v>97</v>
      </c>
      <c r="B48" s="176">
        <v>0</v>
      </c>
      <c r="C48" s="176">
        <v>6.1845200000000003E-2</v>
      </c>
      <c r="D48" s="176">
        <v>7.7901999999999999E-2</v>
      </c>
      <c r="E48" s="176">
        <v>0.25340819184000002</v>
      </c>
      <c r="F48" s="176">
        <v>0.48186126030999998</v>
      </c>
      <c r="G48" s="176">
        <v>0.47711796561000003</v>
      </c>
      <c r="H48" s="26"/>
      <c r="I48" s="26"/>
      <c r="J48" s="26"/>
      <c r="K48" s="26"/>
      <c r="L48" s="26"/>
      <c r="M48" s="26"/>
      <c r="N48" s="26"/>
      <c r="O48" s="26"/>
      <c r="P48" s="26"/>
      <c r="Q48" s="26"/>
    </row>
    <row r="49" spans="1:17" outlineLevel="4" x14ac:dyDescent="0.3">
      <c r="A49" s="175" t="s">
        <v>98</v>
      </c>
      <c r="B49" s="176">
        <v>0</v>
      </c>
      <c r="C49" s="176">
        <v>0</v>
      </c>
      <c r="D49" s="176">
        <v>0</v>
      </c>
      <c r="E49" s="176">
        <v>0</v>
      </c>
      <c r="F49" s="176">
        <v>5.08672720701</v>
      </c>
      <c r="G49" s="176">
        <v>5.1275535505200001</v>
      </c>
      <c r="H49" s="26"/>
      <c r="I49" s="26"/>
      <c r="J49" s="26"/>
      <c r="K49" s="26"/>
      <c r="L49" s="26"/>
      <c r="M49" s="26"/>
      <c r="N49" s="26"/>
      <c r="O49" s="26"/>
      <c r="P49" s="26"/>
      <c r="Q49" s="26"/>
    </row>
    <row r="50" spans="1:17" outlineLevel="4" x14ac:dyDescent="0.3">
      <c r="A50" s="175" t="s">
        <v>99</v>
      </c>
      <c r="B50" s="176">
        <v>13.69347224048</v>
      </c>
      <c r="C50" s="176">
        <v>10.537976948860001</v>
      </c>
      <c r="D50" s="176">
        <v>9.4549938057599991</v>
      </c>
      <c r="E50" s="176">
        <v>7.3589337960099996</v>
      </c>
      <c r="F50" s="176">
        <v>4.2521896911699999</v>
      </c>
      <c r="G50" s="176">
        <v>4.2799231578799999</v>
      </c>
      <c r="H50" s="26"/>
      <c r="I50" s="26"/>
      <c r="J50" s="26"/>
      <c r="K50" s="26"/>
      <c r="L50" s="26"/>
      <c r="M50" s="26"/>
      <c r="N50" s="26"/>
      <c r="O50" s="26"/>
      <c r="P50" s="26"/>
      <c r="Q50" s="26"/>
    </row>
    <row r="51" spans="1:17" outlineLevel="4" x14ac:dyDescent="0.3">
      <c r="A51" s="175" t="s">
        <v>100</v>
      </c>
      <c r="B51" s="176">
        <v>26.985065628059999</v>
      </c>
      <c r="C51" s="176">
        <v>27.704960040149999</v>
      </c>
      <c r="D51" s="176">
        <v>98.126692472870005</v>
      </c>
      <c r="E51" s="176">
        <v>115.07812630904</v>
      </c>
      <c r="F51" s="176">
        <v>124.11142454661</v>
      </c>
      <c r="G51" s="176">
        <v>122.39023698254999</v>
      </c>
      <c r="H51" s="26"/>
      <c r="I51" s="26"/>
      <c r="J51" s="26"/>
      <c r="K51" s="26"/>
      <c r="L51" s="26"/>
      <c r="M51" s="26"/>
      <c r="N51" s="26"/>
      <c r="O51" s="26"/>
      <c r="P51" s="26"/>
      <c r="Q51" s="26"/>
    </row>
    <row r="52" spans="1:17" outlineLevel="4" x14ac:dyDescent="0.3">
      <c r="A52" s="175" t="s">
        <v>101</v>
      </c>
      <c r="B52" s="176">
        <v>132.357876</v>
      </c>
      <c r="C52" s="176">
        <v>136.36866599999999</v>
      </c>
      <c r="D52" s="176">
        <v>452.22111000000001</v>
      </c>
      <c r="E52" s="176">
        <v>1249.7759189999999</v>
      </c>
      <c r="F52" s="176">
        <v>1850.2552231591901</v>
      </c>
      <c r="G52" s="176">
        <v>1962.5244772937201</v>
      </c>
      <c r="H52" s="26"/>
      <c r="I52" s="26"/>
      <c r="J52" s="26"/>
      <c r="K52" s="26"/>
      <c r="L52" s="26"/>
      <c r="M52" s="26"/>
      <c r="N52" s="26"/>
      <c r="O52" s="26"/>
      <c r="P52" s="26"/>
      <c r="Q52" s="26"/>
    </row>
    <row r="53" spans="1:17" outlineLevel="4" x14ac:dyDescent="0.3">
      <c r="A53" s="175" t="s">
        <v>102</v>
      </c>
      <c r="B53" s="176">
        <v>0</v>
      </c>
      <c r="C53" s="176">
        <v>0</v>
      </c>
      <c r="D53" s="176">
        <v>21.085527195080001</v>
      </c>
      <c r="E53" s="176">
        <v>39.914098248590001</v>
      </c>
      <c r="F53" s="176">
        <v>243.40981073539001</v>
      </c>
      <c r="G53" s="176">
        <v>240.47988203592999</v>
      </c>
      <c r="H53" s="26"/>
      <c r="I53" s="26"/>
      <c r="J53" s="26"/>
      <c r="K53" s="26"/>
      <c r="L53" s="26"/>
      <c r="M53" s="26"/>
      <c r="N53" s="26"/>
      <c r="O53" s="26"/>
      <c r="P53" s="26"/>
      <c r="Q53" s="26"/>
    </row>
    <row r="54" spans="1:17" outlineLevel="4" x14ac:dyDescent="0.3">
      <c r="A54" s="175" t="s">
        <v>103</v>
      </c>
      <c r="B54" s="176">
        <v>149.66078664104</v>
      </c>
      <c r="C54" s="176">
        <v>167.90406736776001</v>
      </c>
      <c r="D54" s="176">
        <v>282.38035135726</v>
      </c>
      <c r="E54" s="176">
        <v>455.94914315625999</v>
      </c>
      <c r="F54" s="176">
        <v>679.98849281046</v>
      </c>
      <c r="G54" s="176">
        <v>666.90862741633998</v>
      </c>
      <c r="H54" s="26"/>
      <c r="I54" s="26"/>
      <c r="J54" s="26"/>
      <c r="K54" s="26"/>
      <c r="L54" s="26"/>
      <c r="M54" s="26"/>
      <c r="N54" s="26"/>
      <c r="O54" s="26"/>
      <c r="P54" s="26"/>
      <c r="Q54" s="26"/>
    </row>
    <row r="55" spans="1:17" outlineLevel="4" x14ac:dyDescent="0.3">
      <c r="A55" s="175" t="s">
        <v>104</v>
      </c>
      <c r="B55" s="176">
        <v>119.56959310429001</v>
      </c>
      <c r="C55" s="176">
        <v>119.00280760606</v>
      </c>
      <c r="D55" s="176">
        <v>234.07269763165999</v>
      </c>
      <c r="E55" s="176">
        <v>379.91330392216003</v>
      </c>
      <c r="F55" s="176">
        <v>569.59844089061005</v>
      </c>
      <c r="G55" s="176">
        <v>561.18860177733995</v>
      </c>
      <c r="H55" s="26"/>
      <c r="I55" s="26"/>
      <c r="J55" s="26"/>
      <c r="K55" s="26"/>
      <c r="L55" s="26"/>
      <c r="M55" s="26"/>
      <c r="N55" s="26"/>
      <c r="O55" s="26"/>
      <c r="P55" s="26"/>
      <c r="Q55" s="26"/>
    </row>
    <row r="56" spans="1:17" outlineLevel="4" x14ac:dyDescent="0.3">
      <c r="A56" s="175" t="s">
        <v>105</v>
      </c>
      <c r="B56" s="176">
        <v>1.0454113763399999</v>
      </c>
      <c r="C56" s="176">
        <v>1.5875877036599999</v>
      </c>
      <c r="D56" s="176">
        <v>2.8371336968200001</v>
      </c>
      <c r="E56" s="176">
        <v>4.33677963433</v>
      </c>
      <c r="F56" s="176">
        <v>4.8006512413799998</v>
      </c>
      <c r="G56" s="176">
        <v>4.6241860456500001</v>
      </c>
      <c r="H56" s="26"/>
      <c r="I56" s="26"/>
      <c r="J56" s="26"/>
      <c r="K56" s="26"/>
      <c r="L56" s="26"/>
      <c r="M56" s="26"/>
      <c r="N56" s="26"/>
      <c r="O56" s="26"/>
      <c r="P56" s="26"/>
      <c r="Q56" s="26"/>
    </row>
    <row r="57" spans="1:17" outlineLevel="3" x14ac:dyDescent="0.3">
      <c r="A57" s="177" t="s">
        <v>106</v>
      </c>
      <c r="B57" s="176">
        <f t="shared" ref="B57:G57" si="7">SUM(B$58:B$67)</f>
        <v>26.766260647389998</v>
      </c>
      <c r="C57" s="176">
        <f t="shared" si="7"/>
        <v>24.223503565430001</v>
      </c>
      <c r="D57" s="176">
        <f t="shared" si="7"/>
        <v>160.50546788984002</v>
      </c>
      <c r="E57" s="176">
        <f t="shared" si="7"/>
        <v>239.95764692871998</v>
      </c>
      <c r="F57" s="176">
        <f t="shared" si="7"/>
        <v>320.75385386105006</v>
      </c>
      <c r="G57" s="176">
        <f t="shared" si="7"/>
        <v>319.28324551754002</v>
      </c>
      <c r="H57" s="26"/>
      <c r="I57" s="26"/>
      <c r="J57" s="26"/>
      <c r="K57" s="26"/>
      <c r="L57" s="26"/>
      <c r="M57" s="26"/>
      <c r="N57" s="26"/>
      <c r="O57" s="26"/>
      <c r="P57" s="26"/>
      <c r="Q57" s="26"/>
    </row>
    <row r="58" spans="1:17" outlineLevel="4" x14ac:dyDescent="0.3">
      <c r="A58" s="175" t="s">
        <v>107</v>
      </c>
      <c r="B58" s="176">
        <v>0</v>
      </c>
      <c r="C58" s="176">
        <v>0.55899540264000003</v>
      </c>
      <c r="D58" s="176">
        <v>0.80847284054000002</v>
      </c>
      <c r="E58" s="176">
        <v>0.89084539944999996</v>
      </c>
      <c r="F58" s="176">
        <v>1.0035949112</v>
      </c>
      <c r="G58" s="176">
        <v>0.99696442919999995</v>
      </c>
      <c r="H58" s="26"/>
      <c r="I58" s="26"/>
      <c r="J58" s="26"/>
      <c r="K58" s="26"/>
      <c r="L58" s="26"/>
      <c r="M58" s="26"/>
      <c r="N58" s="26"/>
      <c r="O58" s="26"/>
      <c r="P58" s="26"/>
      <c r="Q58" s="26"/>
    </row>
    <row r="59" spans="1:17" outlineLevel="4" x14ac:dyDescent="0.3">
      <c r="A59" s="175" t="s">
        <v>108</v>
      </c>
      <c r="B59" s="176">
        <v>0</v>
      </c>
      <c r="C59" s="176">
        <v>0</v>
      </c>
      <c r="D59" s="176">
        <v>7.7901999999999996</v>
      </c>
      <c r="E59" s="176">
        <v>8.4415800000000001</v>
      </c>
      <c r="F59" s="176">
        <v>8.7853200000000005</v>
      </c>
      <c r="G59" s="176">
        <v>8.6988400000000006</v>
      </c>
      <c r="H59" s="26"/>
      <c r="I59" s="26"/>
      <c r="J59" s="26"/>
      <c r="K59" s="26"/>
      <c r="L59" s="26"/>
      <c r="M59" s="26"/>
      <c r="N59" s="26"/>
      <c r="O59" s="26"/>
      <c r="P59" s="26"/>
      <c r="Q59" s="26"/>
    </row>
    <row r="60" spans="1:17" outlineLevel="4" x14ac:dyDescent="0.3">
      <c r="A60" s="175" t="s">
        <v>109</v>
      </c>
      <c r="B60" s="176">
        <v>0</v>
      </c>
      <c r="C60" s="176">
        <v>0</v>
      </c>
      <c r="D60" s="176">
        <v>66.835792851359997</v>
      </c>
      <c r="E60" s="176">
        <v>139.85243126616001</v>
      </c>
      <c r="F60" s="176">
        <v>213.75542670784</v>
      </c>
      <c r="G60" s="176">
        <v>211.49315567745001</v>
      </c>
      <c r="H60" s="26"/>
      <c r="I60" s="26"/>
      <c r="J60" s="26"/>
      <c r="K60" s="26"/>
      <c r="L60" s="26"/>
      <c r="M60" s="26"/>
      <c r="N60" s="26"/>
      <c r="O60" s="26"/>
      <c r="P60" s="26"/>
      <c r="Q60" s="26"/>
    </row>
    <row r="61" spans="1:17" outlineLevel="4" x14ac:dyDescent="0.3">
      <c r="A61" s="175" t="s">
        <v>110</v>
      </c>
      <c r="B61" s="176">
        <v>0</v>
      </c>
      <c r="C61" s="176">
        <v>0</v>
      </c>
      <c r="D61" s="176">
        <v>7.7901999999999996</v>
      </c>
      <c r="E61" s="176">
        <v>8.4415800000000001</v>
      </c>
      <c r="F61" s="176">
        <v>8.7853200000000005</v>
      </c>
      <c r="G61" s="176">
        <v>8.6988400000000006</v>
      </c>
      <c r="H61" s="26"/>
      <c r="I61" s="26"/>
      <c r="J61" s="26"/>
      <c r="K61" s="26"/>
      <c r="L61" s="26"/>
      <c r="M61" s="26"/>
      <c r="N61" s="26"/>
      <c r="O61" s="26"/>
      <c r="P61" s="26"/>
      <c r="Q61" s="26"/>
    </row>
    <row r="62" spans="1:17" outlineLevel="4" x14ac:dyDescent="0.3">
      <c r="A62" s="175" t="s">
        <v>111</v>
      </c>
      <c r="B62" s="176">
        <v>8.9906458514699992</v>
      </c>
      <c r="C62" s="176">
        <v>7.8206807494600001</v>
      </c>
      <c r="D62" s="176">
        <v>21.460113920649999</v>
      </c>
      <c r="E62" s="176">
        <v>23.719138560360001</v>
      </c>
      <c r="F62" s="176">
        <v>24.695561359159999</v>
      </c>
      <c r="G62" s="176">
        <v>24.533266701790001</v>
      </c>
      <c r="H62" s="26"/>
      <c r="I62" s="26"/>
      <c r="J62" s="26"/>
      <c r="K62" s="26"/>
      <c r="L62" s="26"/>
      <c r="M62" s="26"/>
      <c r="N62" s="26"/>
      <c r="O62" s="26"/>
      <c r="P62" s="26"/>
      <c r="Q62" s="26"/>
    </row>
    <row r="63" spans="1:17" outlineLevel="4" x14ac:dyDescent="0.3">
      <c r="A63" s="175" t="s">
        <v>112</v>
      </c>
      <c r="B63" s="176">
        <v>0.40721180357999998</v>
      </c>
      <c r="C63" s="176">
        <v>1.1414699260300001</v>
      </c>
      <c r="D63" s="176">
        <v>1.94019993968</v>
      </c>
      <c r="E63" s="176">
        <v>3.6823600697400001</v>
      </c>
      <c r="F63" s="176">
        <v>4.3628869331200004</v>
      </c>
      <c r="G63" s="176">
        <v>4.3199400100699998</v>
      </c>
      <c r="H63" s="26"/>
      <c r="I63" s="26"/>
      <c r="J63" s="26"/>
      <c r="K63" s="26"/>
      <c r="L63" s="26"/>
      <c r="M63" s="26"/>
      <c r="N63" s="26"/>
      <c r="O63" s="26"/>
      <c r="P63" s="26"/>
      <c r="Q63" s="26"/>
    </row>
    <row r="64" spans="1:17" outlineLevel="4" x14ac:dyDescent="0.3">
      <c r="A64" s="175" t="s">
        <v>113</v>
      </c>
      <c r="B64" s="176">
        <v>0</v>
      </c>
      <c r="C64" s="176">
        <v>0</v>
      </c>
      <c r="D64" s="176">
        <v>0</v>
      </c>
      <c r="E64" s="176">
        <v>0</v>
      </c>
      <c r="F64" s="176">
        <v>4.2039</v>
      </c>
      <c r="G64" s="176">
        <v>4.1513999999999998</v>
      </c>
      <c r="H64" s="26"/>
      <c r="I64" s="26"/>
      <c r="J64" s="26"/>
      <c r="K64" s="26"/>
      <c r="L64" s="26"/>
      <c r="M64" s="26"/>
      <c r="N64" s="26"/>
      <c r="O64" s="26"/>
      <c r="P64" s="26"/>
      <c r="Q64" s="26"/>
    </row>
    <row r="65" spans="1:17" outlineLevel="4" x14ac:dyDescent="0.3">
      <c r="A65" s="175" t="s">
        <v>114</v>
      </c>
      <c r="B65" s="176">
        <v>5.364996859E-2</v>
      </c>
      <c r="C65" s="176">
        <v>1.2890436159999999E-2</v>
      </c>
      <c r="D65" s="176">
        <v>1.7280656490000001E-2</v>
      </c>
      <c r="E65" s="176">
        <v>1.7948754040000001E-2</v>
      </c>
      <c r="F65" s="176">
        <v>2.1545629019999998E-2</v>
      </c>
      <c r="G65" s="176">
        <v>2.1276558500000001E-2</v>
      </c>
      <c r="H65" s="26"/>
      <c r="I65" s="26"/>
      <c r="J65" s="26"/>
      <c r="K65" s="26"/>
      <c r="L65" s="26"/>
      <c r="M65" s="26"/>
      <c r="N65" s="26"/>
      <c r="O65" s="26"/>
      <c r="P65" s="26"/>
      <c r="Q65" s="26"/>
    </row>
    <row r="66" spans="1:17" outlineLevel="4" x14ac:dyDescent="0.3">
      <c r="A66" s="175" t="s">
        <v>115</v>
      </c>
      <c r="B66" s="176">
        <v>0.78617442469999999</v>
      </c>
      <c r="C66" s="176">
        <v>1.08277249519</v>
      </c>
      <c r="D66" s="176">
        <v>17.370752550180001</v>
      </c>
      <c r="E66" s="176">
        <v>18.97010688824</v>
      </c>
      <c r="F66" s="176">
        <v>19.550736922790001</v>
      </c>
      <c r="G66" s="176">
        <v>19.35828545499</v>
      </c>
      <c r="H66" s="26"/>
      <c r="I66" s="26"/>
      <c r="J66" s="26"/>
      <c r="K66" s="26"/>
      <c r="L66" s="26"/>
      <c r="M66" s="26"/>
      <c r="N66" s="26"/>
      <c r="O66" s="26"/>
      <c r="P66" s="26"/>
      <c r="Q66" s="26"/>
    </row>
    <row r="67" spans="1:17" outlineLevel="4" x14ac:dyDescent="0.3">
      <c r="A67" s="175" t="s">
        <v>116</v>
      </c>
      <c r="B67" s="176">
        <v>16.52857859905</v>
      </c>
      <c r="C67" s="176">
        <v>13.60669455595</v>
      </c>
      <c r="D67" s="176">
        <v>36.492455130940002</v>
      </c>
      <c r="E67" s="176">
        <v>35.941655990729998</v>
      </c>
      <c r="F67" s="176">
        <v>35.589561397920001</v>
      </c>
      <c r="G67" s="176">
        <v>37.011276685539997</v>
      </c>
      <c r="H67" s="26"/>
      <c r="I67" s="26"/>
      <c r="J67" s="26"/>
      <c r="K67" s="26"/>
      <c r="L67" s="26"/>
      <c r="M67" s="26"/>
      <c r="N67" s="26"/>
      <c r="O67" s="26"/>
      <c r="P67" s="26"/>
      <c r="Q67" s="26"/>
    </row>
    <row r="68" spans="1:17" outlineLevel="3" x14ac:dyDescent="0.3">
      <c r="A68" s="177" t="s">
        <v>117</v>
      </c>
      <c r="B68" s="176">
        <f t="shared" ref="B68:G68" si="8">SUM(B$69:B$69)</f>
        <v>17.13033209916</v>
      </c>
      <c r="C68" s="176">
        <f t="shared" si="8"/>
        <v>16.526657320249999</v>
      </c>
      <c r="D68" s="176">
        <f t="shared" si="8"/>
        <v>22.155300602000001</v>
      </c>
      <c r="E68" s="176">
        <f t="shared" si="8"/>
        <v>23.011859616860001</v>
      </c>
      <c r="F68" s="176">
        <f t="shared" si="8"/>
        <v>25.469574498539998</v>
      </c>
      <c r="G68" s="176">
        <f t="shared" si="8"/>
        <v>25.151500172039999</v>
      </c>
      <c r="H68" s="26"/>
      <c r="I68" s="26"/>
      <c r="J68" s="26"/>
      <c r="K68" s="26"/>
      <c r="L68" s="26"/>
      <c r="M68" s="26"/>
      <c r="N68" s="26"/>
      <c r="O68" s="26"/>
      <c r="P68" s="26"/>
      <c r="Q68" s="26"/>
    </row>
    <row r="69" spans="1:17" outlineLevel="4" x14ac:dyDescent="0.3">
      <c r="A69" s="175" t="s">
        <v>118</v>
      </c>
      <c r="B69" s="176">
        <v>17.13033209916</v>
      </c>
      <c r="C69" s="176">
        <v>16.526657320249999</v>
      </c>
      <c r="D69" s="176">
        <v>22.155300602000001</v>
      </c>
      <c r="E69" s="176">
        <v>23.011859616860001</v>
      </c>
      <c r="F69" s="176">
        <v>25.469574498539998</v>
      </c>
      <c r="G69" s="176">
        <v>25.151500172039999</v>
      </c>
      <c r="H69" s="26"/>
      <c r="I69" s="26"/>
      <c r="J69" s="26"/>
      <c r="K69" s="26"/>
      <c r="L69" s="26"/>
      <c r="M69" s="26"/>
      <c r="N69" s="26"/>
      <c r="O69" s="26"/>
      <c r="P69" s="26"/>
      <c r="Q69" s="26"/>
    </row>
    <row r="70" spans="1:17" outlineLevel="3" x14ac:dyDescent="0.3">
      <c r="A70" s="177" t="s">
        <v>119</v>
      </c>
      <c r="B70" s="176">
        <f t="shared" ref="B70:G70" si="9">SUM(B$71:B$76)</f>
        <v>61.086282690360008</v>
      </c>
      <c r="C70" s="176">
        <f t="shared" si="9"/>
        <v>50.739152857089998</v>
      </c>
      <c r="D70" s="176">
        <f t="shared" si="9"/>
        <v>60.379535033480003</v>
      </c>
      <c r="E70" s="176">
        <f t="shared" si="9"/>
        <v>59.488384682030002</v>
      </c>
      <c r="F70" s="176">
        <f t="shared" si="9"/>
        <v>62.159684084680002</v>
      </c>
      <c r="G70" s="176">
        <f t="shared" si="9"/>
        <v>60.24460406064</v>
      </c>
      <c r="H70" s="26"/>
      <c r="I70" s="26"/>
      <c r="J70" s="26"/>
      <c r="K70" s="26"/>
      <c r="L70" s="26"/>
      <c r="M70" s="26"/>
      <c r="N70" s="26"/>
      <c r="O70" s="26"/>
      <c r="P70" s="26"/>
      <c r="Q70" s="26"/>
    </row>
    <row r="71" spans="1:17" outlineLevel="4" x14ac:dyDescent="0.3">
      <c r="A71" s="175" t="s">
        <v>120</v>
      </c>
      <c r="B71" s="176">
        <v>17.369800000000001</v>
      </c>
      <c r="C71" s="176">
        <v>20.099689999999999</v>
      </c>
      <c r="D71" s="176">
        <v>25.318149999999999</v>
      </c>
      <c r="E71" s="176">
        <v>27.435134999999999</v>
      </c>
      <c r="F71" s="176">
        <v>28.552289999999999</v>
      </c>
      <c r="G71" s="176">
        <v>28.271229999999999</v>
      </c>
      <c r="H71" s="26"/>
      <c r="I71" s="26"/>
      <c r="J71" s="26"/>
      <c r="K71" s="26"/>
      <c r="L71" s="26"/>
      <c r="M71" s="26"/>
      <c r="N71" s="26"/>
      <c r="O71" s="26"/>
      <c r="P71" s="26"/>
      <c r="Q71" s="26"/>
    </row>
    <row r="72" spans="1:17" outlineLevel="4" x14ac:dyDescent="0.3">
      <c r="A72" s="175" t="s">
        <v>121</v>
      </c>
      <c r="B72" s="176">
        <v>1.77620796E-3</v>
      </c>
      <c r="C72" s="176">
        <v>1.5810478E-3</v>
      </c>
      <c r="D72" s="176">
        <v>1.99153347E-3</v>
      </c>
      <c r="E72" s="176">
        <v>2.15805616E-3</v>
      </c>
      <c r="F72" s="176">
        <v>2.2459319199999998E-3</v>
      </c>
      <c r="G72" s="176">
        <v>2.2238236500000002E-3</v>
      </c>
      <c r="H72" s="26"/>
      <c r="I72" s="26"/>
      <c r="J72" s="26"/>
      <c r="K72" s="26"/>
      <c r="L72" s="26"/>
      <c r="M72" s="26"/>
      <c r="N72" s="26"/>
      <c r="O72" s="26"/>
      <c r="P72" s="26"/>
      <c r="Q72" s="26"/>
    </row>
    <row r="73" spans="1:17" outlineLevel="4" x14ac:dyDescent="0.3">
      <c r="A73" s="175" t="s">
        <v>122</v>
      </c>
      <c r="B73" s="176">
        <v>0</v>
      </c>
      <c r="C73" s="176">
        <v>0</v>
      </c>
      <c r="D73" s="176">
        <v>0</v>
      </c>
      <c r="E73" s="176">
        <v>0.16403021542999999</v>
      </c>
      <c r="F73" s="176">
        <v>0.28202475074</v>
      </c>
      <c r="G73" s="176">
        <v>0.27924858544999998</v>
      </c>
      <c r="H73" s="26"/>
      <c r="I73" s="26"/>
      <c r="J73" s="26"/>
      <c r="K73" s="26"/>
      <c r="L73" s="26"/>
      <c r="M73" s="26"/>
      <c r="N73" s="26"/>
      <c r="O73" s="26"/>
      <c r="P73" s="26"/>
      <c r="Q73" s="26"/>
    </row>
    <row r="74" spans="1:17" outlineLevel="4" x14ac:dyDescent="0.3">
      <c r="A74" s="175" t="s">
        <v>123</v>
      </c>
      <c r="B74" s="176">
        <v>6.5858728443199999</v>
      </c>
      <c r="C74" s="176">
        <v>8.11366189644</v>
      </c>
      <c r="D74" s="176">
        <v>11.098013129230001</v>
      </c>
      <c r="E74" s="176">
        <v>10.288715116660001</v>
      </c>
      <c r="F74" s="176">
        <v>8.1087173963799994</v>
      </c>
      <c r="G74" s="176">
        <v>7.7506209689899999</v>
      </c>
      <c r="H74" s="26"/>
      <c r="I74" s="26"/>
      <c r="J74" s="26"/>
      <c r="K74" s="26"/>
      <c r="L74" s="26"/>
      <c r="M74" s="26"/>
      <c r="N74" s="26"/>
      <c r="O74" s="26"/>
      <c r="P74" s="26"/>
      <c r="Q74" s="26"/>
    </row>
    <row r="75" spans="1:17" outlineLevel="4" x14ac:dyDescent="0.3">
      <c r="A75" s="175" t="s">
        <v>124</v>
      </c>
      <c r="B75" s="176">
        <v>37.128833638080003</v>
      </c>
      <c r="C75" s="176">
        <v>22.52421991285</v>
      </c>
      <c r="D75" s="176">
        <v>23.961380370779999</v>
      </c>
      <c r="E75" s="176">
        <v>21.598346293780001</v>
      </c>
      <c r="F75" s="176">
        <v>18.193875010589998</v>
      </c>
      <c r="G75" s="176">
        <v>16.967132449979999</v>
      </c>
      <c r="H75" s="26"/>
      <c r="I75" s="26"/>
      <c r="J75" s="26"/>
      <c r="K75" s="26"/>
      <c r="L75" s="26"/>
      <c r="M75" s="26"/>
      <c r="N75" s="26"/>
      <c r="O75" s="26"/>
      <c r="P75" s="26"/>
      <c r="Q75" s="26"/>
    </row>
    <row r="76" spans="1:17" outlineLevel="4" x14ac:dyDescent="0.3">
      <c r="A76" s="175" t="s">
        <v>125</v>
      </c>
      <c r="B76" s="176">
        <v>0</v>
      </c>
      <c r="C76" s="176">
        <v>0</v>
      </c>
      <c r="D76" s="176">
        <v>0</v>
      </c>
      <c r="E76" s="176">
        <v>0</v>
      </c>
      <c r="F76" s="176">
        <v>7.0205309950499997</v>
      </c>
      <c r="G76" s="176">
        <v>6.9741482325700002</v>
      </c>
      <c r="H76" s="26"/>
      <c r="I76" s="26"/>
      <c r="J76" s="26"/>
      <c r="K76" s="26"/>
      <c r="L76" s="26"/>
      <c r="M76" s="26"/>
      <c r="N76" s="26"/>
      <c r="O76" s="26"/>
      <c r="P76" s="26"/>
      <c r="Q76" s="26"/>
    </row>
    <row r="77" spans="1:17" outlineLevel="3" x14ac:dyDescent="0.3">
      <c r="A77" s="177" t="s">
        <v>126</v>
      </c>
      <c r="B77" s="176">
        <f t="shared" ref="B77:G77" si="10">SUM(B$78:B$85)</f>
        <v>575.39488208960006</v>
      </c>
      <c r="C77" s="176">
        <f t="shared" si="10"/>
        <v>543.16986546599992</v>
      </c>
      <c r="D77" s="176">
        <f t="shared" si="10"/>
        <v>718.83682421800006</v>
      </c>
      <c r="E77" s="176">
        <f t="shared" si="10"/>
        <v>750.56792791199996</v>
      </c>
      <c r="F77" s="176">
        <f t="shared" si="10"/>
        <v>639.79848096628996</v>
      </c>
      <c r="G77" s="176">
        <f t="shared" si="10"/>
        <v>631.80841929718997</v>
      </c>
      <c r="H77" s="26"/>
      <c r="I77" s="26"/>
      <c r="J77" s="26"/>
      <c r="K77" s="26"/>
      <c r="L77" s="26"/>
      <c r="M77" s="26"/>
      <c r="N77" s="26"/>
      <c r="O77" s="26"/>
      <c r="P77" s="26"/>
      <c r="Q77" s="26"/>
    </row>
    <row r="78" spans="1:17" outlineLevel="4" x14ac:dyDescent="0.3">
      <c r="A78" s="175" t="s">
        <v>127</v>
      </c>
      <c r="B78" s="176">
        <v>244.17311208960001</v>
      </c>
      <c r="C78" s="176">
        <v>208.99547546599999</v>
      </c>
      <c r="D78" s="176">
        <v>276.48165421800002</v>
      </c>
      <c r="E78" s="176">
        <v>287.17087291199999</v>
      </c>
      <c r="F78" s="176">
        <v>0</v>
      </c>
      <c r="G78" s="176">
        <v>0</v>
      </c>
      <c r="H78" s="26"/>
      <c r="I78" s="26"/>
      <c r="J78" s="26"/>
      <c r="K78" s="26"/>
      <c r="L78" s="26"/>
      <c r="M78" s="26"/>
      <c r="N78" s="26"/>
      <c r="O78" s="26"/>
      <c r="P78" s="26"/>
      <c r="Q78" s="26"/>
    </row>
    <row r="79" spans="1:17" outlineLevel="4" x14ac:dyDescent="0.3">
      <c r="A79" s="175" t="s">
        <v>128</v>
      </c>
      <c r="B79" s="176">
        <v>28.2746</v>
      </c>
      <c r="C79" s="176">
        <v>0</v>
      </c>
      <c r="D79" s="176">
        <v>0</v>
      </c>
      <c r="E79" s="176">
        <v>0</v>
      </c>
      <c r="F79" s="176">
        <v>0</v>
      </c>
      <c r="G79" s="176">
        <v>0</v>
      </c>
      <c r="H79" s="26"/>
      <c r="I79" s="26"/>
      <c r="J79" s="26"/>
      <c r="K79" s="26"/>
      <c r="L79" s="26"/>
      <c r="M79" s="26"/>
      <c r="N79" s="26"/>
      <c r="O79" s="26"/>
      <c r="P79" s="26"/>
      <c r="Q79" s="26"/>
    </row>
    <row r="80" spans="1:17" outlineLevel="4" x14ac:dyDescent="0.3">
      <c r="A80" s="175" t="s">
        <v>129</v>
      </c>
      <c r="B80" s="176">
        <v>84.823800000000006</v>
      </c>
      <c r="C80" s="176">
        <v>81.834599999999995</v>
      </c>
      <c r="D80" s="176">
        <v>109.7058</v>
      </c>
      <c r="E80" s="176">
        <v>113.9472</v>
      </c>
      <c r="F80" s="176">
        <v>0</v>
      </c>
      <c r="G80" s="176">
        <v>0</v>
      </c>
      <c r="H80" s="26"/>
      <c r="I80" s="26"/>
      <c r="J80" s="26"/>
      <c r="K80" s="26"/>
      <c r="L80" s="26"/>
      <c r="M80" s="26"/>
      <c r="N80" s="26"/>
      <c r="O80" s="26"/>
      <c r="P80" s="26"/>
      <c r="Q80" s="26"/>
    </row>
    <row r="81" spans="1:17" outlineLevel="4" x14ac:dyDescent="0.3">
      <c r="A81" s="175" t="s">
        <v>130</v>
      </c>
      <c r="B81" s="176">
        <v>66.445310000000006</v>
      </c>
      <c r="C81" s="176">
        <v>64.103769999999997</v>
      </c>
      <c r="D81" s="176">
        <v>85.936210000000003</v>
      </c>
      <c r="E81" s="176">
        <v>89.25864</v>
      </c>
      <c r="F81" s="176">
        <v>0</v>
      </c>
      <c r="G81" s="176">
        <v>0</v>
      </c>
      <c r="H81" s="26"/>
      <c r="I81" s="26"/>
      <c r="J81" s="26"/>
      <c r="K81" s="26"/>
      <c r="L81" s="26"/>
      <c r="M81" s="26"/>
      <c r="N81" s="26"/>
      <c r="O81" s="26"/>
      <c r="P81" s="26"/>
      <c r="Q81" s="26"/>
    </row>
    <row r="82" spans="1:17" outlineLevel="4" x14ac:dyDescent="0.3">
      <c r="A82" s="175" t="s">
        <v>131</v>
      </c>
      <c r="B82" s="176">
        <v>34.739600000000003</v>
      </c>
      <c r="C82" s="176">
        <v>30.922599999999999</v>
      </c>
      <c r="D82" s="176">
        <v>38.951000000000001</v>
      </c>
      <c r="E82" s="176">
        <v>42.207900000000002</v>
      </c>
      <c r="F82" s="176">
        <v>0</v>
      </c>
      <c r="G82" s="176">
        <v>0</v>
      </c>
      <c r="H82" s="26"/>
      <c r="I82" s="26"/>
      <c r="J82" s="26"/>
      <c r="K82" s="26"/>
      <c r="L82" s="26"/>
      <c r="M82" s="26"/>
      <c r="N82" s="26"/>
      <c r="O82" s="26"/>
      <c r="P82" s="26"/>
      <c r="Q82" s="26"/>
    </row>
    <row r="83" spans="1:17" outlineLevel="4" x14ac:dyDescent="0.3">
      <c r="A83" s="175" t="s">
        <v>132</v>
      </c>
      <c r="B83" s="176">
        <v>116.93846000000001</v>
      </c>
      <c r="C83" s="176">
        <v>109.57657</v>
      </c>
      <c r="D83" s="176">
        <v>143.76711</v>
      </c>
      <c r="E83" s="176">
        <v>151.514115</v>
      </c>
      <c r="F83" s="176">
        <v>0</v>
      </c>
      <c r="G83" s="176">
        <v>0</v>
      </c>
      <c r="H83" s="26"/>
      <c r="I83" s="26"/>
      <c r="J83" s="26"/>
      <c r="K83" s="26"/>
      <c r="L83" s="26"/>
      <c r="M83" s="26"/>
      <c r="N83" s="26"/>
      <c r="O83" s="26"/>
      <c r="P83" s="26"/>
      <c r="Q83" s="26"/>
    </row>
    <row r="84" spans="1:17" outlineLevel="4" x14ac:dyDescent="0.3">
      <c r="A84" s="175" t="s">
        <v>133</v>
      </c>
      <c r="B84" s="176">
        <v>0</v>
      </c>
      <c r="C84" s="176">
        <v>47.736849999999997</v>
      </c>
      <c r="D84" s="176">
        <v>63.995049999999999</v>
      </c>
      <c r="E84" s="176">
        <v>66.469200000000001</v>
      </c>
      <c r="F84" s="176">
        <v>0</v>
      </c>
      <c r="G84" s="176">
        <v>0</v>
      </c>
      <c r="H84" s="26"/>
      <c r="I84" s="26"/>
      <c r="J84" s="26"/>
      <c r="K84" s="26"/>
      <c r="L84" s="26"/>
      <c r="M84" s="26"/>
      <c r="N84" s="26"/>
      <c r="O84" s="26"/>
      <c r="P84" s="26"/>
      <c r="Q84" s="26"/>
    </row>
    <row r="85" spans="1:17" outlineLevel="4" x14ac:dyDescent="0.3">
      <c r="A85" s="175" t="s">
        <v>134</v>
      </c>
      <c r="B85" s="176">
        <v>0</v>
      </c>
      <c r="C85" s="176">
        <v>0</v>
      </c>
      <c r="D85" s="176">
        <v>0</v>
      </c>
      <c r="E85" s="176">
        <v>0</v>
      </c>
      <c r="F85" s="176">
        <v>639.79848096628996</v>
      </c>
      <c r="G85" s="176">
        <v>631.80841929718997</v>
      </c>
      <c r="H85" s="26"/>
      <c r="I85" s="26"/>
      <c r="J85" s="26"/>
      <c r="K85" s="26"/>
      <c r="L85" s="26"/>
      <c r="M85" s="26"/>
      <c r="N85" s="26"/>
      <c r="O85" s="26"/>
      <c r="P85" s="26"/>
      <c r="Q85" s="26"/>
    </row>
    <row r="86" spans="1:17" outlineLevel="3" x14ac:dyDescent="0.3">
      <c r="A86" s="177" t="s">
        <v>135</v>
      </c>
      <c r="B86" s="176">
        <f t="shared" ref="B86:G86" si="11">SUM(B$87:B$87)</f>
        <v>84.823800000000006</v>
      </c>
      <c r="C86" s="176">
        <f t="shared" si="11"/>
        <v>81.834599999999995</v>
      </c>
      <c r="D86" s="176">
        <f t="shared" si="11"/>
        <v>109.7058</v>
      </c>
      <c r="E86" s="176">
        <f t="shared" si="11"/>
        <v>113.9472</v>
      </c>
      <c r="F86" s="176">
        <f t="shared" si="11"/>
        <v>126.117</v>
      </c>
      <c r="G86" s="176">
        <f t="shared" si="11"/>
        <v>124.542</v>
      </c>
      <c r="H86" s="26"/>
      <c r="I86" s="26"/>
      <c r="J86" s="26"/>
      <c r="K86" s="26"/>
      <c r="L86" s="26"/>
      <c r="M86" s="26"/>
      <c r="N86" s="26"/>
      <c r="O86" s="26"/>
      <c r="P86" s="26"/>
      <c r="Q86" s="26"/>
    </row>
    <row r="87" spans="1:17" outlineLevel="4" x14ac:dyDescent="0.3">
      <c r="A87" s="175" t="s">
        <v>136</v>
      </c>
      <c r="B87" s="176">
        <v>84.823800000000006</v>
      </c>
      <c r="C87" s="176">
        <v>81.834599999999995</v>
      </c>
      <c r="D87" s="176">
        <v>109.7058</v>
      </c>
      <c r="E87" s="176">
        <v>113.9472</v>
      </c>
      <c r="F87" s="176">
        <v>126.117</v>
      </c>
      <c r="G87" s="176">
        <v>124.542</v>
      </c>
      <c r="H87" s="26"/>
      <c r="I87" s="26"/>
      <c r="J87" s="26"/>
      <c r="K87" s="26"/>
      <c r="L87" s="26"/>
      <c r="M87" s="26"/>
      <c r="N87" s="26"/>
      <c r="O87" s="26"/>
      <c r="P87" s="26"/>
      <c r="Q87" s="26"/>
    </row>
    <row r="88" spans="1:17" outlineLevel="3" x14ac:dyDescent="0.3">
      <c r="A88" s="177" t="s">
        <v>137</v>
      </c>
      <c r="B88" s="176">
        <f t="shared" ref="B88:G88" si="12">SUM(B$89:B$89)</f>
        <v>50.007862420000002</v>
      </c>
      <c r="C88" s="176">
        <f t="shared" si="12"/>
        <v>120.49942593211</v>
      </c>
      <c r="D88" s="176">
        <f t="shared" si="12"/>
        <v>153.60404350837999</v>
      </c>
      <c r="E88" s="176">
        <f t="shared" si="12"/>
        <v>160.84042546983</v>
      </c>
      <c r="F88" s="176">
        <f t="shared" si="12"/>
        <v>173.03822402111001</v>
      </c>
      <c r="G88" s="176">
        <f t="shared" si="12"/>
        <v>171.51518383453001</v>
      </c>
      <c r="H88" s="26"/>
      <c r="I88" s="26"/>
      <c r="J88" s="26"/>
      <c r="K88" s="26"/>
      <c r="L88" s="26"/>
      <c r="M88" s="26"/>
      <c r="N88" s="26"/>
      <c r="O88" s="26"/>
      <c r="P88" s="26"/>
      <c r="Q88" s="26"/>
    </row>
    <row r="89" spans="1:17" outlineLevel="4" x14ac:dyDescent="0.3">
      <c r="A89" s="175" t="s">
        <v>104</v>
      </c>
      <c r="B89" s="176">
        <v>50.007862420000002</v>
      </c>
      <c r="C89" s="176">
        <v>120.49942593211</v>
      </c>
      <c r="D89" s="176">
        <v>153.60404350837999</v>
      </c>
      <c r="E89" s="176">
        <v>160.84042546983</v>
      </c>
      <c r="F89" s="176">
        <v>173.03822402111001</v>
      </c>
      <c r="G89" s="176">
        <v>171.51518383453001</v>
      </c>
      <c r="H89" s="26"/>
      <c r="I89" s="26"/>
      <c r="J89" s="26"/>
      <c r="K89" s="26"/>
      <c r="L89" s="26"/>
      <c r="M89" s="26"/>
      <c r="N89" s="26"/>
      <c r="O89" s="26"/>
      <c r="P89" s="26"/>
      <c r="Q89" s="26"/>
    </row>
    <row r="90" spans="1:17" ht="14.5" outlineLevel="1" x14ac:dyDescent="0.35">
      <c r="A90" s="188" t="s">
        <v>2</v>
      </c>
      <c r="B90" s="189">
        <f t="shared" ref="B90:G90" si="13">B$91+B$112</f>
        <v>292.65022361159004</v>
      </c>
      <c r="C90" s="189">
        <f t="shared" si="13"/>
        <v>309.33986955858001</v>
      </c>
      <c r="D90" s="189">
        <f t="shared" si="13"/>
        <v>360.43420638318003</v>
      </c>
      <c r="E90" s="189">
        <f t="shared" si="13"/>
        <v>331.5447170827199</v>
      </c>
      <c r="F90" s="189">
        <f t="shared" si="13"/>
        <v>288.51110931760996</v>
      </c>
      <c r="G90" s="189">
        <f t="shared" si="13"/>
        <v>279.37199832290003</v>
      </c>
      <c r="H90" s="26"/>
      <c r="I90" s="26"/>
      <c r="J90" s="26"/>
      <c r="K90" s="26"/>
      <c r="L90" s="26"/>
      <c r="M90" s="26"/>
      <c r="N90" s="26"/>
      <c r="O90" s="26"/>
      <c r="P90" s="26"/>
      <c r="Q90" s="26"/>
    </row>
    <row r="91" spans="1:17" ht="14.5" outlineLevel="2" x14ac:dyDescent="0.35">
      <c r="A91" s="186" t="s">
        <v>57</v>
      </c>
      <c r="B91" s="187">
        <f t="shared" ref="B91:G91" si="14">B$92+B$100+B$110</f>
        <v>32.237360687399999</v>
      </c>
      <c r="C91" s="187">
        <f t="shared" si="14"/>
        <v>49.038826509239996</v>
      </c>
      <c r="D91" s="187">
        <f t="shared" si="14"/>
        <v>72.197931313059996</v>
      </c>
      <c r="E91" s="187">
        <f t="shared" si="14"/>
        <v>68.798719139519989</v>
      </c>
      <c r="F91" s="187">
        <f t="shared" si="14"/>
        <v>69.357463909260005</v>
      </c>
      <c r="G91" s="187">
        <f t="shared" si="14"/>
        <v>73.185231749920007</v>
      </c>
      <c r="H91" s="26"/>
      <c r="I91" s="26"/>
      <c r="J91" s="26"/>
      <c r="K91" s="26"/>
      <c r="L91" s="26"/>
      <c r="M91" s="26"/>
      <c r="N91" s="26"/>
      <c r="O91" s="26"/>
      <c r="P91" s="26"/>
      <c r="Q91" s="26"/>
    </row>
    <row r="92" spans="1:17" outlineLevel="3" x14ac:dyDescent="0.3">
      <c r="A92" s="177" t="s">
        <v>58</v>
      </c>
      <c r="B92" s="176">
        <f t="shared" ref="B92:G92" si="15">SUM(B$93:B$99)</f>
        <v>24.3868166</v>
      </c>
      <c r="C92" s="176">
        <f t="shared" si="15"/>
        <v>16.928416600000002</v>
      </c>
      <c r="D92" s="176">
        <f t="shared" si="15"/>
        <v>11.847416600000001</v>
      </c>
      <c r="E92" s="176">
        <f t="shared" si="15"/>
        <v>7.9750116000000002</v>
      </c>
      <c r="F92" s="176">
        <f t="shared" si="15"/>
        <v>4.4750116000000002</v>
      </c>
      <c r="G92" s="176">
        <f t="shared" si="15"/>
        <v>4.4750116000000002</v>
      </c>
      <c r="H92" s="26"/>
      <c r="I92" s="26"/>
      <c r="J92" s="26"/>
      <c r="K92" s="26"/>
      <c r="L92" s="26"/>
      <c r="M92" s="26"/>
      <c r="N92" s="26"/>
      <c r="O92" s="26"/>
      <c r="P92" s="26"/>
      <c r="Q92" s="26"/>
    </row>
    <row r="93" spans="1:17" outlineLevel="4" x14ac:dyDescent="0.3">
      <c r="A93" s="175" t="s">
        <v>138</v>
      </c>
      <c r="B93" s="176">
        <v>1.1600000000000001E-5</v>
      </c>
      <c r="C93" s="176">
        <v>1.1600000000000001E-5</v>
      </c>
      <c r="D93" s="176">
        <v>1.1600000000000001E-5</v>
      </c>
      <c r="E93" s="176">
        <v>1.1600000000000001E-5</v>
      </c>
      <c r="F93" s="176">
        <v>1.1600000000000001E-5</v>
      </c>
      <c r="G93" s="176">
        <v>1.1600000000000001E-5</v>
      </c>
      <c r="H93" s="26"/>
      <c r="I93" s="26"/>
      <c r="J93" s="26"/>
      <c r="K93" s="26"/>
      <c r="L93" s="26"/>
      <c r="M93" s="26"/>
      <c r="N93" s="26"/>
      <c r="O93" s="26"/>
      <c r="P93" s="26"/>
      <c r="Q93" s="26"/>
    </row>
    <row r="94" spans="1:17" outlineLevel="4" x14ac:dyDescent="0.3">
      <c r="A94" s="175" t="s">
        <v>139</v>
      </c>
      <c r="B94" s="176">
        <v>3.4750000000000001</v>
      </c>
      <c r="C94" s="176">
        <v>3.4750000000000001</v>
      </c>
      <c r="D94" s="176">
        <v>3.4750000000000001</v>
      </c>
      <c r="E94" s="176">
        <v>2.4750000000000001</v>
      </c>
      <c r="F94" s="176">
        <v>2.4750000000000001</v>
      </c>
      <c r="G94" s="176">
        <v>2.4750000000000001</v>
      </c>
      <c r="H94" s="26"/>
      <c r="I94" s="26"/>
      <c r="J94" s="26"/>
      <c r="K94" s="26"/>
      <c r="L94" s="26"/>
      <c r="M94" s="26"/>
      <c r="N94" s="26"/>
      <c r="O94" s="26"/>
      <c r="P94" s="26"/>
      <c r="Q94" s="26"/>
    </row>
    <row r="95" spans="1:17" outlineLevel="4" x14ac:dyDescent="0.3">
      <c r="A95" s="175" t="s">
        <v>140</v>
      </c>
      <c r="B95" s="176">
        <v>1.6763999999999999</v>
      </c>
      <c r="C95" s="176">
        <v>0</v>
      </c>
      <c r="D95" s="176">
        <v>0</v>
      </c>
      <c r="E95" s="176">
        <v>0</v>
      </c>
      <c r="F95" s="176">
        <v>0</v>
      </c>
      <c r="G95" s="176">
        <v>0</v>
      </c>
      <c r="H95" s="26"/>
      <c r="I95" s="26"/>
      <c r="J95" s="26"/>
      <c r="K95" s="26"/>
      <c r="L95" s="26"/>
      <c r="M95" s="26"/>
      <c r="N95" s="26"/>
      <c r="O95" s="26"/>
      <c r="P95" s="26"/>
      <c r="Q95" s="26"/>
    </row>
    <row r="96" spans="1:17" outlineLevel="4" x14ac:dyDescent="0.3">
      <c r="A96" s="175" t="s">
        <v>141</v>
      </c>
      <c r="B96" s="176">
        <v>10.863</v>
      </c>
      <c r="C96" s="176">
        <v>5.0810000000000004</v>
      </c>
      <c r="D96" s="176">
        <v>0</v>
      </c>
      <c r="E96" s="176">
        <v>0</v>
      </c>
      <c r="F96" s="176">
        <v>0</v>
      </c>
      <c r="G96" s="176">
        <v>0</v>
      </c>
      <c r="H96" s="26"/>
      <c r="I96" s="26"/>
      <c r="J96" s="26"/>
      <c r="K96" s="26"/>
      <c r="L96" s="26"/>
      <c r="M96" s="26"/>
      <c r="N96" s="26"/>
      <c r="O96" s="26"/>
      <c r="P96" s="26"/>
      <c r="Q96" s="26"/>
    </row>
    <row r="97" spans="1:17" outlineLevel="4" x14ac:dyDescent="0.3">
      <c r="A97" s="175" t="s">
        <v>142</v>
      </c>
      <c r="B97" s="176">
        <v>2.8724050000000001</v>
      </c>
      <c r="C97" s="176">
        <v>2.8724050000000001</v>
      </c>
      <c r="D97" s="176">
        <v>2.8724050000000001</v>
      </c>
      <c r="E97" s="176">
        <v>0</v>
      </c>
      <c r="F97" s="176">
        <v>0</v>
      </c>
      <c r="G97" s="176">
        <v>0</v>
      </c>
      <c r="H97" s="26"/>
      <c r="I97" s="26"/>
      <c r="J97" s="26"/>
      <c r="K97" s="26"/>
      <c r="L97" s="26"/>
      <c r="M97" s="26"/>
      <c r="N97" s="26"/>
      <c r="O97" s="26"/>
      <c r="P97" s="26"/>
      <c r="Q97" s="26"/>
    </row>
    <row r="98" spans="1:17" outlineLevel="4" x14ac:dyDescent="0.3">
      <c r="A98" s="175" t="s">
        <v>143</v>
      </c>
      <c r="B98" s="176">
        <v>3.5</v>
      </c>
      <c r="C98" s="176">
        <v>3.5</v>
      </c>
      <c r="D98" s="176">
        <v>3.5</v>
      </c>
      <c r="E98" s="176">
        <v>3.5</v>
      </c>
      <c r="F98" s="176">
        <v>0</v>
      </c>
      <c r="G98" s="176">
        <v>0</v>
      </c>
      <c r="H98" s="26"/>
      <c r="I98" s="26"/>
      <c r="J98" s="26"/>
      <c r="K98" s="26"/>
      <c r="L98" s="26"/>
      <c r="M98" s="26"/>
      <c r="N98" s="26"/>
      <c r="O98" s="26"/>
      <c r="P98" s="26"/>
      <c r="Q98" s="26"/>
    </row>
    <row r="99" spans="1:17" outlineLevel="4" x14ac:dyDescent="0.3">
      <c r="A99" s="175" t="s">
        <v>144</v>
      </c>
      <c r="B99" s="176">
        <v>2</v>
      </c>
      <c r="C99" s="176">
        <v>2</v>
      </c>
      <c r="D99" s="176">
        <v>2</v>
      </c>
      <c r="E99" s="176">
        <v>2</v>
      </c>
      <c r="F99" s="176">
        <v>2</v>
      </c>
      <c r="G99" s="176">
        <v>2</v>
      </c>
      <c r="H99" s="26"/>
      <c r="I99" s="26"/>
      <c r="J99" s="26"/>
      <c r="K99" s="26"/>
      <c r="L99" s="26"/>
      <c r="M99" s="26"/>
      <c r="N99" s="26"/>
      <c r="O99" s="26"/>
      <c r="P99" s="26"/>
      <c r="Q99" s="26"/>
    </row>
    <row r="100" spans="1:17" outlineLevel="3" x14ac:dyDescent="0.3">
      <c r="A100" s="177" t="s">
        <v>93</v>
      </c>
      <c r="B100" s="176">
        <f t="shared" ref="B100:G100" si="16">SUM(B$101:B$109)</f>
        <v>7.8495894373999997</v>
      </c>
      <c r="C100" s="176">
        <f t="shared" si="16"/>
        <v>32.109455259240001</v>
      </c>
      <c r="D100" s="176">
        <f t="shared" si="16"/>
        <v>60.349560063059997</v>
      </c>
      <c r="E100" s="176">
        <f t="shared" si="16"/>
        <v>60.822752889519997</v>
      </c>
      <c r="F100" s="176">
        <f t="shared" si="16"/>
        <v>64.881497659260006</v>
      </c>
      <c r="G100" s="176">
        <f t="shared" si="16"/>
        <v>68.709265499920008</v>
      </c>
      <c r="H100" s="26"/>
      <c r="I100" s="26"/>
      <c r="J100" s="26"/>
      <c r="K100" s="26"/>
      <c r="L100" s="26"/>
      <c r="M100" s="26"/>
      <c r="N100" s="26"/>
      <c r="O100" s="26"/>
      <c r="P100" s="26"/>
      <c r="Q100" s="26"/>
    </row>
    <row r="101" spans="1:17" outlineLevel="4" x14ac:dyDescent="0.3">
      <c r="A101" s="175" t="s">
        <v>145</v>
      </c>
      <c r="B101" s="176">
        <v>1.0434432467899999</v>
      </c>
      <c r="C101" s="176">
        <v>4.3504301856599996</v>
      </c>
      <c r="D101" s="176">
        <v>4.2835835157500002</v>
      </c>
      <c r="E101" s="176">
        <v>3.58431738666</v>
      </c>
      <c r="F101" s="176">
        <v>2.6414929643299998</v>
      </c>
      <c r="G101" s="176">
        <v>3.2630255785100002</v>
      </c>
      <c r="H101" s="26"/>
      <c r="I101" s="26"/>
      <c r="J101" s="26"/>
      <c r="K101" s="26"/>
      <c r="L101" s="26"/>
      <c r="M101" s="26"/>
      <c r="N101" s="26"/>
      <c r="O101" s="26"/>
      <c r="P101" s="26"/>
      <c r="Q101" s="26"/>
    </row>
    <row r="102" spans="1:17" outlineLevel="4" x14ac:dyDescent="0.3">
      <c r="A102" s="175" t="s">
        <v>146</v>
      </c>
      <c r="B102" s="176">
        <v>0</v>
      </c>
      <c r="C102" s="176">
        <v>0.3546166</v>
      </c>
      <c r="D102" s="176">
        <v>0.47539179999999998</v>
      </c>
      <c r="E102" s="176">
        <v>0.43890773350000001</v>
      </c>
      <c r="F102" s="176">
        <v>0.30361500074999997</v>
      </c>
      <c r="G102" s="176">
        <v>0.26984100083000001</v>
      </c>
      <c r="H102" s="26"/>
      <c r="I102" s="26"/>
      <c r="J102" s="26"/>
      <c r="K102" s="26"/>
      <c r="L102" s="26"/>
      <c r="M102" s="26"/>
      <c r="N102" s="26"/>
      <c r="O102" s="26"/>
      <c r="P102" s="26"/>
      <c r="Q102" s="26"/>
    </row>
    <row r="103" spans="1:17" outlineLevel="4" x14ac:dyDescent="0.3">
      <c r="A103" s="175" t="s">
        <v>147</v>
      </c>
      <c r="B103" s="176">
        <v>1.8936914606799999</v>
      </c>
      <c r="C103" s="176">
        <v>10.60962944519</v>
      </c>
      <c r="D103" s="176">
        <v>12.3806687687</v>
      </c>
      <c r="E103" s="176">
        <v>11.39334056433</v>
      </c>
      <c r="F103" s="176">
        <v>14.99023391273</v>
      </c>
      <c r="G103" s="176">
        <v>16.907108891290001</v>
      </c>
      <c r="H103" s="26"/>
      <c r="I103" s="26"/>
      <c r="J103" s="26"/>
      <c r="K103" s="26"/>
      <c r="L103" s="26"/>
      <c r="M103" s="26"/>
      <c r="N103" s="26"/>
      <c r="O103" s="26"/>
      <c r="P103" s="26"/>
      <c r="Q103" s="26"/>
    </row>
    <row r="104" spans="1:17" outlineLevel="4" x14ac:dyDescent="0.3">
      <c r="A104" s="175" t="s">
        <v>148</v>
      </c>
      <c r="B104" s="176">
        <v>4.2217565300000004</v>
      </c>
      <c r="C104" s="176">
        <v>12.21438637152</v>
      </c>
      <c r="D104" s="176">
        <v>13.78798622101</v>
      </c>
      <c r="E104" s="176">
        <v>13.171333369219999</v>
      </c>
      <c r="F104" s="176">
        <v>13.25976210098</v>
      </c>
      <c r="G104" s="176">
        <v>14.743566531360001</v>
      </c>
      <c r="H104" s="26"/>
      <c r="I104" s="26"/>
      <c r="J104" s="26"/>
      <c r="K104" s="26"/>
      <c r="L104" s="26"/>
      <c r="M104" s="26"/>
      <c r="N104" s="26"/>
      <c r="O104" s="26"/>
      <c r="P104" s="26"/>
      <c r="Q104" s="26"/>
    </row>
    <row r="105" spans="1:17" outlineLevel="4" x14ac:dyDescent="0.3">
      <c r="A105" s="175" t="s">
        <v>149</v>
      </c>
      <c r="B105" s="176">
        <v>0</v>
      </c>
      <c r="C105" s="176">
        <v>0.27278200000000002</v>
      </c>
      <c r="D105" s="176">
        <v>0.36568600000000001</v>
      </c>
      <c r="E105" s="176">
        <v>0.33762133300000002</v>
      </c>
      <c r="F105" s="176">
        <v>0.23354999851</v>
      </c>
      <c r="G105" s="176">
        <v>0.61849195173000004</v>
      </c>
      <c r="H105" s="26"/>
      <c r="I105" s="26"/>
      <c r="J105" s="26"/>
      <c r="K105" s="26"/>
      <c r="L105" s="26"/>
      <c r="M105" s="26"/>
      <c r="N105" s="26"/>
      <c r="O105" s="26"/>
      <c r="P105" s="26"/>
      <c r="Q105" s="26"/>
    </row>
    <row r="106" spans="1:17" outlineLevel="4" x14ac:dyDescent="0.3">
      <c r="A106" s="175" t="s">
        <v>150</v>
      </c>
      <c r="B106" s="176">
        <v>0</v>
      </c>
      <c r="C106" s="176">
        <v>0.38189479999999998</v>
      </c>
      <c r="D106" s="176">
        <v>0.51196039999999998</v>
      </c>
      <c r="E106" s="176">
        <v>0.47266986649999998</v>
      </c>
      <c r="F106" s="176">
        <v>0.32696999924999998</v>
      </c>
      <c r="G106" s="176">
        <v>0.29059799917000001</v>
      </c>
      <c r="H106" s="26"/>
      <c r="I106" s="26"/>
      <c r="J106" s="26"/>
      <c r="K106" s="26"/>
      <c r="L106" s="26"/>
      <c r="M106" s="26"/>
      <c r="N106" s="26"/>
      <c r="O106" s="26"/>
      <c r="P106" s="26"/>
      <c r="Q106" s="26"/>
    </row>
    <row r="107" spans="1:17" outlineLevel="4" x14ac:dyDescent="0.3">
      <c r="A107" s="175" t="s">
        <v>151</v>
      </c>
      <c r="B107" s="176">
        <v>8.6005375829999994E-2</v>
      </c>
      <c r="C107" s="176">
        <v>0</v>
      </c>
      <c r="D107" s="176">
        <v>0</v>
      </c>
      <c r="E107" s="176">
        <v>0</v>
      </c>
      <c r="F107" s="176">
        <v>0</v>
      </c>
      <c r="G107" s="176">
        <v>0</v>
      </c>
      <c r="H107" s="26"/>
      <c r="I107" s="26"/>
      <c r="J107" s="26"/>
      <c r="K107" s="26"/>
      <c r="L107" s="26"/>
      <c r="M107" s="26"/>
      <c r="N107" s="26"/>
      <c r="O107" s="26"/>
      <c r="P107" s="26"/>
      <c r="Q107" s="26"/>
    </row>
    <row r="108" spans="1:17" outlineLevel="4" x14ac:dyDescent="0.3">
      <c r="A108" s="175" t="s">
        <v>152</v>
      </c>
      <c r="B108" s="176">
        <v>0.60469282410000003</v>
      </c>
      <c r="C108" s="176">
        <v>0.29995578815000001</v>
      </c>
      <c r="D108" s="176">
        <v>0.14995578814999999</v>
      </c>
      <c r="E108" s="176">
        <v>0</v>
      </c>
      <c r="F108" s="176">
        <v>0</v>
      </c>
      <c r="G108" s="176">
        <v>0</v>
      </c>
      <c r="H108" s="26"/>
      <c r="I108" s="26"/>
      <c r="J108" s="26"/>
      <c r="K108" s="26"/>
      <c r="L108" s="26"/>
      <c r="M108" s="26"/>
      <c r="N108" s="26"/>
      <c r="O108" s="26"/>
      <c r="P108" s="26"/>
      <c r="Q108" s="26"/>
    </row>
    <row r="109" spans="1:17" outlineLevel="4" x14ac:dyDescent="0.3">
      <c r="A109" s="175" t="s">
        <v>153</v>
      </c>
      <c r="B109" s="176">
        <v>0</v>
      </c>
      <c r="C109" s="176">
        <v>3.62576006872</v>
      </c>
      <c r="D109" s="176">
        <v>28.394327569449999</v>
      </c>
      <c r="E109" s="176">
        <v>31.42456263631</v>
      </c>
      <c r="F109" s="176">
        <v>33.125873682710001</v>
      </c>
      <c r="G109" s="176">
        <v>32.616633547029998</v>
      </c>
      <c r="H109" s="26"/>
      <c r="I109" s="26"/>
      <c r="J109" s="26"/>
      <c r="K109" s="26"/>
      <c r="L109" s="26"/>
      <c r="M109" s="26"/>
      <c r="N109" s="26"/>
      <c r="O109" s="26"/>
      <c r="P109" s="26"/>
      <c r="Q109" s="26"/>
    </row>
    <row r="110" spans="1:17" outlineLevel="3" x14ac:dyDescent="0.3">
      <c r="A110" s="177" t="s">
        <v>154</v>
      </c>
      <c r="B110" s="176">
        <f t="shared" ref="B110:G110" si="17">SUM(B$111:B$111)</f>
        <v>9.5465000000000003E-4</v>
      </c>
      <c r="C110" s="176">
        <f t="shared" si="17"/>
        <v>9.5465000000000003E-4</v>
      </c>
      <c r="D110" s="176">
        <f t="shared" si="17"/>
        <v>9.5465000000000003E-4</v>
      </c>
      <c r="E110" s="176">
        <f t="shared" si="17"/>
        <v>9.5465000000000003E-4</v>
      </c>
      <c r="F110" s="176">
        <f t="shared" si="17"/>
        <v>9.5465000000000003E-4</v>
      </c>
      <c r="G110" s="176">
        <f t="shared" si="17"/>
        <v>9.5465000000000003E-4</v>
      </c>
      <c r="H110" s="26"/>
      <c r="I110" s="26"/>
      <c r="J110" s="26"/>
      <c r="K110" s="26"/>
      <c r="L110" s="26"/>
      <c r="M110" s="26"/>
      <c r="N110" s="26"/>
      <c r="O110" s="26"/>
      <c r="P110" s="26"/>
      <c r="Q110" s="26"/>
    </row>
    <row r="111" spans="1:17" outlineLevel="4" x14ac:dyDescent="0.3">
      <c r="A111" s="175" t="s">
        <v>155</v>
      </c>
      <c r="B111" s="176">
        <v>9.5465000000000003E-4</v>
      </c>
      <c r="C111" s="176">
        <v>9.5465000000000003E-4</v>
      </c>
      <c r="D111" s="176">
        <v>9.5465000000000003E-4</v>
      </c>
      <c r="E111" s="176">
        <v>9.5465000000000003E-4</v>
      </c>
      <c r="F111" s="176">
        <v>9.5465000000000003E-4</v>
      </c>
      <c r="G111" s="176">
        <v>9.5465000000000003E-4</v>
      </c>
      <c r="H111" s="26"/>
      <c r="I111" s="26"/>
      <c r="J111" s="26"/>
      <c r="K111" s="26"/>
      <c r="L111" s="26"/>
      <c r="M111" s="26"/>
      <c r="N111" s="26"/>
      <c r="O111" s="26"/>
      <c r="P111" s="26"/>
      <c r="Q111" s="26"/>
    </row>
    <row r="112" spans="1:17" ht="14.5" outlineLevel="2" x14ac:dyDescent="0.35">
      <c r="A112" s="186" t="s">
        <v>95</v>
      </c>
      <c r="B112" s="187">
        <f t="shared" ref="B112:G112" si="18">B$113+B$120+B$123+B$126+B$129</f>
        <v>260.41286292419005</v>
      </c>
      <c r="C112" s="187">
        <f t="shared" si="18"/>
        <v>260.30104304934002</v>
      </c>
      <c r="D112" s="187">
        <f t="shared" si="18"/>
        <v>288.23627507012003</v>
      </c>
      <c r="E112" s="187">
        <f t="shared" si="18"/>
        <v>262.74599794319994</v>
      </c>
      <c r="F112" s="187">
        <f t="shared" si="18"/>
        <v>219.15364540834997</v>
      </c>
      <c r="G112" s="187">
        <f t="shared" si="18"/>
        <v>206.18676657297999</v>
      </c>
      <c r="H112" s="26"/>
      <c r="I112" s="26"/>
      <c r="J112" s="26"/>
      <c r="K112" s="26"/>
      <c r="L112" s="26"/>
      <c r="M112" s="26"/>
      <c r="N112" s="26"/>
      <c r="O112" s="26"/>
      <c r="P112" s="26"/>
      <c r="Q112" s="26"/>
    </row>
    <row r="113" spans="1:17" outlineLevel="3" x14ac:dyDescent="0.3">
      <c r="A113" s="177" t="s">
        <v>96</v>
      </c>
      <c r="B113" s="176">
        <f t="shared" ref="B113:G113" si="19">SUM(B$114:B$119)</f>
        <v>221.66375750545001</v>
      </c>
      <c r="C113" s="176">
        <f t="shared" si="19"/>
        <v>186.07888667076</v>
      </c>
      <c r="D113" s="176">
        <f t="shared" si="19"/>
        <v>191.23700154050002</v>
      </c>
      <c r="E113" s="176">
        <f t="shared" si="19"/>
        <v>160.72856170807</v>
      </c>
      <c r="F113" s="176">
        <f t="shared" si="19"/>
        <v>136.28570344675998</v>
      </c>
      <c r="G113" s="176">
        <f t="shared" si="19"/>
        <v>124.48637754184</v>
      </c>
      <c r="H113" s="26"/>
      <c r="I113" s="26"/>
      <c r="J113" s="26"/>
      <c r="K113" s="26"/>
      <c r="L113" s="26"/>
      <c r="M113" s="26"/>
      <c r="N113" s="26"/>
      <c r="O113" s="26"/>
      <c r="P113" s="26"/>
      <c r="Q113" s="26"/>
    </row>
    <row r="114" spans="1:17" outlineLevel="4" x14ac:dyDescent="0.3">
      <c r="A114" s="175" t="s">
        <v>156</v>
      </c>
      <c r="B114" s="176">
        <v>6.9479199999999999</v>
      </c>
      <c r="C114" s="176">
        <v>9.2767800000000005</v>
      </c>
      <c r="D114" s="176">
        <v>11.6853</v>
      </c>
      <c r="E114" s="176">
        <v>12.662369999999999</v>
      </c>
      <c r="F114" s="176">
        <v>13.17798</v>
      </c>
      <c r="G114" s="176">
        <v>13.048260000000001</v>
      </c>
      <c r="H114" s="26"/>
      <c r="I114" s="26"/>
      <c r="J114" s="26"/>
      <c r="K114" s="26"/>
      <c r="L114" s="26"/>
      <c r="M114" s="26"/>
      <c r="N114" s="26"/>
      <c r="O114" s="26"/>
      <c r="P114" s="26"/>
      <c r="Q114" s="26"/>
    </row>
    <row r="115" spans="1:17" outlineLevel="4" x14ac:dyDescent="0.3">
      <c r="A115" s="175" t="s">
        <v>99</v>
      </c>
      <c r="B115" s="176">
        <v>10.432493581479999</v>
      </c>
      <c r="C115" s="176">
        <v>9.2796015706299997</v>
      </c>
      <c r="D115" s="176">
        <v>22.173127630060002</v>
      </c>
      <c r="E115" s="176">
        <v>42.482597292279998</v>
      </c>
      <c r="F115" s="176">
        <v>45.32443061531</v>
      </c>
      <c r="G115" s="176">
        <v>39.840486723040001</v>
      </c>
      <c r="H115" s="26"/>
      <c r="I115" s="26"/>
      <c r="J115" s="26"/>
      <c r="K115" s="26"/>
      <c r="L115" s="26"/>
      <c r="M115" s="26"/>
      <c r="N115" s="26"/>
      <c r="O115" s="26"/>
      <c r="P115" s="26"/>
      <c r="Q115" s="26"/>
    </row>
    <row r="116" spans="1:17" outlineLevel="4" x14ac:dyDescent="0.3">
      <c r="A116" s="175" t="s">
        <v>100</v>
      </c>
      <c r="B116" s="176">
        <v>1.9025141940000001</v>
      </c>
      <c r="C116" s="176">
        <v>1.685745539</v>
      </c>
      <c r="D116" s="176">
        <v>4.0027995150000004</v>
      </c>
      <c r="E116" s="176">
        <v>4.2488582534999999</v>
      </c>
      <c r="F116" s="176">
        <v>8.0852744912300007</v>
      </c>
      <c r="G116" s="176">
        <v>7.9458066017300002</v>
      </c>
      <c r="H116" s="26"/>
      <c r="I116" s="26"/>
      <c r="J116" s="26"/>
      <c r="K116" s="26"/>
      <c r="L116" s="26"/>
      <c r="M116" s="26"/>
      <c r="N116" s="26"/>
      <c r="O116" s="26"/>
      <c r="P116" s="26"/>
      <c r="Q116" s="26"/>
    </row>
    <row r="117" spans="1:17" outlineLevel="4" x14ac:dyDescent="0.3">
      <c r="A117" s="175" t="s">
        <v>103</v>
      </c>
      <c r="B117" s="176">
        <v>12.66957612263</v>
      </c>
      <c r="C117" s="176">
        <v>12.77248679523</v>
      </c>
      <c r="D117" s="176">
        <v>17.16922751996</v>
      </c>
      <c r="E117" s="176">
        <v>20.401384690299999</v>
      </c>
      <c r="F117" s="176">
        <v>21.577228281509999</v>
      </c>
      <c r="G117" s="176">
        <v>21.307763145620001</v>
      </c>
      <c r="H117" s="26"/>
      <c r="I117" s="26"/>
      <c r="J117" s="26"/>
      <c r="K117" s="26"/>
      <c r="L117" s="26"/>
      <c r="M117" s="26"/>
      <c r="N117" s="26"/>
      <c r="O117" s="26"/>
      <c r="P117" s="26"/>
      <c r="Q117" s="26"/>
    </row>
    <row r="118" spans="1:17" outlineLevel="4" x14ac:dyDescent="0.3">
      <c r="A118" s="175" t="s">
        <v>104</v>
      </c>
      <c r="B118" s="176">
        <v>189.71125360734001</v>
      </c>
      <c r="C118" s="176">
        <v>153.0642727659</v>
      </c>
      <c r="D118" s="176">
        <v>136.20086235975</v>
      </c>
      <c r="E118" s="176">
        <v>80.927352987519996</v>
      </c>
      <c r="F118" s="176">
        <v>48.108513283420002</v>
      </c>
      <c r="G118" s="176">
        <v>42.331937613489998</v>
      </c>
      <c r="H118" s="26"/>
      <c r="I118" s="26"/>
      <c r="J118" s="26"/>
      <c r="K118" s="26"/>
      <c r="L118" s="26"/>
      <c r="M118" s="26"/>
      <c r="N118" s="26"/>
      <c r="O118" s="26"/>
      <c r="P118" s="26"/>
      <c r="Q118" s="26"/>
    </row>
    <row r="119" spans="1:17" outlineLevel="4" x14ac:dyDescent="0.3">
      <c r="A119" s="175" t="s">
        <v>105</v>
      </c>
      <c r="B119" s="176">
        <v>0</v>
      </c>
      <c r="C119" s="176">
        <v>0</v>
      </c>
      <c r="D119" s="176">
        <v>5.6845157299999999E-3</v>
      </c>
      <c r="E119" s="176">
        <v>5.99848447E-3</v>
      </c>
      <c r="F119" s="176">
        <v>1.227677529E-2</v>
      </c>
      <c r="G119" s="176">
        <v>1.212345796E-2</v>
      </c>
      <c r="H119" s="26"/>
      <c r="I119" s="26"/>
      <c r="J119" s="26"/>
      <c r="K119" s="26"/>
      <c r="L119" s="26"/>
      <c r="M119" s="26"/>
      <c r="N119" s="26"/>
      <c r="O119" s="26"/>
      <c r="P119" s="26"/>
      <c r="Q119" s="26"/>
    </row>
    <row r="120" spans="1:17" outlineLevel="3" x14ac:dyDescent="0.3">
      <c r="A120" s="177" t="s">
        <v>157</v>
      </c>
      <c r="B120" s="176">
        <f t="shared" ref="B120:G120" si="20">SUM(B$121:B$122)</f>
        <v>29.688330000000001</v>
      </c>
      <c r="C120" s="176">
        <f t="shared" si="20"/>
        <v>24.550380000000001</v>
      </c>
      <c r="D120" s="176">
        <f t="shared" si="20"/>
        <v>30.169094999999999</v>
      </c>
      <c r="E120" s="176">
        <f t="shared" si="20"/>
        <v>32.463972362509999</v>
      </c>
      <c r="F120" s="176">
        <f t="shared" si="20"/>
        <v>36.060648373310002</v>
      </c>
      <c r="G120" s="176">
        <f t="shared" si="20"/>
        <v>35.613954103519994</v>
      </c>
      <c r="H120" s="26"/>
      <c r="I120" s="26"/>
      <c r="J120" s="26"/>
      <c r="K120" s="26"/>
      <c r="L120" s="26"/>
      <c r="M120" s="26"/>
      <c r="N120" s="26"/>
      <c r="O120" s="26"/>
      <c r="P120" s="26"/>
      <c r="Q120" s="26"/>
    </row>
    <row r="121" spans="1:17" outlineLevel="4" x14ac:dyDescent="0.3">
      <c r="A121" s="175" t="s">
        <v>158</v>
      </c>
      <c r="B121" s="176">
        <v>29.688330000000001</v>
      </c>
      <c r="C121" s="176">
        <v>24.550380000000001</v>
      </c>
      <c r="D121" s="176">
        <v>30.169094999999999</v>
      </c>
      <c r="E121" s="176">
        <v>31.33548</v>
      </c>
      <c r="F121" s="176">
        <v>34.682175000000001</v>
      </c>
      <c r="G121" s="176">
        <v>34.249049999999997</v>
      </c>
      <c r="H121" s="26"/>
      <c r="I121" s="26"/>
      <c r="J121" s="26"/>
      <c r="K121" s="26"/>
      <c r="L121" s="26"/>
      <c r="M121" s="26"/>
      <c r="N121" s="26"/>
      <c r="O121" s="26"/>
      <c r="P121" s="26"/>
      <c r="Q121" s="26"/>
    </row>
    <row r="122" spans="1:17" outlineLevel="4" x14ac:dyDescent="0.3">
      <c r="A122" s="175" t="s">
        <v>111</v>
      </c>
      <c r="B122" s="176">
        <v>0</v>
      </c>
      <c r="C122" s="176">
        <v>0</v>
      </c>
      <c r="D122" s="176">
        <v>0</v>
      </c>
      <c r="E122" s="176">
        <v>1.1284923625100001</v>
      </c>
      <c r="F122" s="176">
        <v>1.3784733733100001</v>
      </c>
      <c r="G122" s="176">
        <v>1.36490410352</v>
      </c>
      <c r="H122" s="26"/>
      <c r="I122" s="26"/>
      <c r="J122" s="26"/>
      <c r="K122" s="26"/>
      <c r="L122" s="26"/>
      <c r="M122" s="26"/>
      <c r="N122" s="26"/>
      <c r="O122" s="26"/>
      <c r="P122" s="26"/>
      <c r="Q122" s="26"/>
    </row>
    <row r="123" spans="1:17" outlineLevel="3" x14ac:dyDescent="0.3">
      <c r="A123" s="177" t="s">
        <v>119</v>
      </c>
      <c r="B123" s="176">
        <f t="shared" ref="B123:G123" si="21">SUM(B$124:B$125)</f>
        <v>5.7441543338300001</v>
      </c>
      <c r="C123" s="176">
        <f t="shared" si="21"/>
        <v>4.9631423273299999</v>
      </c>
      <c r="D123" s="176">
        <f t="shared" si="21"/>
        <v>7.09944966691</v>
      </c>
      <c r="E123" s="176">
        <f t="shared" si="21"/>
        <v>7.4799616972800003</v>
      </c>
      <c r="F123" s="176">
        <f t="shared" si="21"/>
        <v>7.6600232181100001</v>
      </c>
      <c r="G123" s="176">
        <f t="shared" si="21"/>
        <v>7.4115902363900004</v>
      </c>
      <c r="H123" s="26"/>
      <c r="I123" s="26"/>
      <c r="J123" s="26"/>
      <c r="K123" s="26"/>
      <c r="L123" s="26"/>
      <c r="M123" s="26"/>
      <c r="N123" s="26"/>
      <c r="O123" s="26"/>
      <c r="P123" s="26"/>
      <c r="Q123" s="26"/>
    </row>
    <row r="124" spans="1:17" outlineLevel="4" x14ac:dyDescent="0.3">
      <c r="A124" s="175" t="s">
        <v>159</v>
      </c>
      <c r="B124" s="176">
        <v>4.9365827108299998</v>
      </c>
      <c r="C124" s="176">
        <v>4.4761919675000001</v>
      </c>
      <c r="D124" s="176">
        <v>6.8946523524199996</v>
      </c>
      <c r="E124" s="176">
        <v>7.4799616972800003</v>
      </c>
      <c r="F124" s="176">
        <v>7.6600232181100001</v>
      </c>
      <c r="G124" s="176">
        <v>7.4115902363900004</v>
      </c>
      <c r="H124" s="26"/>
      <c r="I124" s="26"/>
      <c r="J124" s="26"/>
      <c r="K124" s="26"/>
      <c r="L124" s="26"/>
      <c r="M124" s="26"/>
      <c r="N124" s="26"/>
      <c r="O124" s="26"/>
      <c r="P124" s="26"/>
      <c r="Q124" s="26"/>
    </row>
    <row r="125" spans="1:17" outlineLevel="4" x14ac:dyDescent="0.3">
      <c r="A125" s="175" t="s">
        <v>124</v>
      </c>
      <c r="B125" s="176">
        <v>0.80757162299999996</v>
      </c>
      <c r="C125" s="176">
        <v>0.48695035983000001</v>
      </c>
      <c r="D125" s="176">
        <v>0.20479731448999999</v>
      </c>
      <c r="E125" s="176">
        <v>0</v>
      </c>
      <c r="F125" s="176">
        <v>0</v>
      </c>
      <c r="G125" s="176">
        <v>0</v>
      </c>
      <c r="H125" s="26"/>
      <c r="I125" s="26"/>
      <c r="J125" s="26"/>
      <c r="K125" s="26"/>
      <c r="L125" s="26"/>
      <c r="M125" s="26"/>
      <c r="N125" s="26"/>
      <c r="O125" s="26"/>
      <c r="P125" s="26"/>
      <c r="Q125" s="26"/>
    </row>
    <row r="126" spans="1:17" outlineLevel="3" x14ac:dyDescent="0.3">
      <c r="A126" s="177" t="s">
        <v>160</v>
      </c>
      <c r="B126" s="176">
        <f t="shared" ref="B126:G126" si="22">SUM(B$127:B$128)</f>
        <v>0</v>
      </c>
      <c r="C126" s="176">
        <f t="shared" si="22"/>
        <v>41.599254999999999</v>
      </c>
      <c r="D126" s="176">
        <f t="shared" si="22"/>
        <v>55.767115000000004</v>
      </c>
      <c r="E126" s="176">
        <f t="shared" si="22"/>
        <v>57.923159999999996</v>
      </c>
      <c r="F126" s="176">
        <f t="shared" si="22"/>
        <v>34.682175000000001</v>
      </c>
      <c r="G126" s="176">
        <f t="shared" si="22"/>
        <v>34.249049999999997</v>
      </c>
      <c r="H126" s="26"/>
      <c r="I126" s="26"/>
      <c r="J126" s="26"/>
      <c r="K126" s="26"/>
      <c r="L126" s="26"/>
      <c r="M126" s="26"/>
      <c r="N126" s="26"/>
      <c r="O126" s="26"/>
      <c r="P126" s="26"/>
      <c r="Q126" s="26"/>
    </row>
    <row r="127" spans="1:17" outlineLevel="4" x14ac:dyDescent="0.3">
      <c r="A127" s="175" t="s">
        <v>161</v>
      </c>
      <c r="B127" s="176">
        <v>0</v>
      </c>
      <c r="C127" s="176">
        <v>19.094740000000002</v>
      </c>
      <c r="D127" s="176">
        <v>25.598020000000002</v>
      </c>
      <c r="E127" s="176">
        <v>26.587679999999999</v>
      </c>
      <c r="F127" s="176">
        <v>0</v>
      </c>
      <c r="G127" s="176">
        <v>0</v>
      </c>
      <c r="H127" s="26"/>
      <c r="I127" s="26"/>
      <c r="J127" s="26"/>
      <c r="K127" s="26"/>
      <c r="L127" s="26"/>
      <c r="M127" s="26"/>
      <c r="N127" s="26"/>
      <c r="O127" s="26"/>
      <c r="P127" s="26"/>
      <c r="Q127" s="26"/>
    </row>
    <row r="128" spans="1:17" outlineLevel="4" x14ac:dyDescent="0.3">
      <c r="A128" s="175" t="s">
        <v>162</v>
      </c>
      <c r="B128" s="176">
        <v>0</v>
      </c>
      <c r="C128" s="176">
        <v>22.504515000000001</v>
      </c>
      <c r="D128" s="176">
        <v>30.169094999999999</v>
      </c>
      <c r="E128" s="176">
        <v>31.33548</v>
      </c>
      <c r="F128" s="176">
        <v>34.682175000000001</v>
      </c>
      <c r="G128" s="176">
        <v>34.249049999999997</v>
      </c>
      <c r="H128" s="26"/>
      <c r="I128" s="26"/>
      <c r="J128" s="26"/>
      <c r="K128" s="26"/>
      <c r="L128" s="26"/>
      <c r="M128" s="26"/>
      <c r="N128" s="26"/>
      <c r="O128" s="26"/>
      <c r="P128" s="26"/>
      <c r="Q128" s="26"/>
    </row>
    <row r="129" spans="1:17" outlineLevel="3" x14ac:dyDescent="0.3">
      <c r="A129" s="177" t="s">
        <v>137</v>
      </c>
      <c r="B129" s="176">
        <f t="shared" ref="B129:G129" si="23">SUM(B$130:B$130)</f>
        <v>3.31662108491</v>
      </c>
      <c r="C129" s="176">
        <f t="shared" si="23"/>
        <v>3.1093790512499999</v>
      </c>
      <c r="D129" s="176">
        <f t="shared" si="23"/>
        <v>3.9636138627099999</v>
      </c>
      <c r="E129" s="176">
        <f t="shared" si="23"/>
        <v>4.1503421753399996</v>
      </c>
      <c r="F129" s="176">
        <f t="shared" si="23"/>
        <v>4.4650953701700002</v>
      </c>
      <c r="G129" s="176">
        <f t="shared" si="23"/>
        <v>4.4257946912300001</v>
      </c>
      <c r="H129" s="26"/>
      <c r="I129" s="26"/>
      <c r="J129" s="26"/>
      <c r="K129" s="26"/>
      <c r="L129" s="26"/>
      <c r="M129" s="26"/>
      <c r="N129" s="26"/>
      <c r="O129" s="26"/>
      <c r="P129" s="26"/>
      <c r="Q129" s="26"/>
    </row>
    <row r="130" spans="1:17" outlineLevel="4" x14ac:dyDescent="0.3">
      <c r="A130" s="175" t="s">
        <v>104</v>
      </c>
      <c r="B130" s="176">
        <v>3.31662108491</v>
      </c>
      <c r="C130" s="176">
        <v>3.1093790512499999</v>
      </c>
      <c r="D130" s="176">
        <v>3.9636138627099999</v>
      </c>
      <c r="E130" s="176">
        <v>4.1503421753399996</v>
      </c>
      <c r="F130" s="176">
        <v>4.4650953701700002</v>
      </c>
      <c r="G130" s="176">
        <v>4.4257946912300001</v>
      </c>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tabSelected="1" workbookViewId="0">
      <selection activeCell="A6" sqref="A6"/>
    </sheetView>
  </sheetViews>
  <sheetFormatPr defaultColWidth="9.1796875" defaultRowHeight="13" outlineLevelRow="4" x14ac:dyDescent="0.3"/>
  <cols>
    <col min="1" max="1" width="52" style="22" customWidth="1"/>
    <col min="2" max="7" width="15.179687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VALUSD</f>
        <v>млрд. дол. США</v>
      </c>
    </row>
    <row r="5" spans="1:19" s="14" customFormat="1" x14ac:dyDescent="0.25">
      <c r="A5" s="12"/>
      <c r="B5" s="13">
        <v>44196</v>
      </c>
      <c r="C5" s="13">
        <v>44561</v>
      </c>
      <c r="D5" s="13">
        <v>44926</v>
      </c>
      <c r="E5" s="13">
        <v>45291</v>
      </c>
      <c r="F5" s="13">
        <v>45657</v>
      </c>
      <c r="G5" s="13">
        <v>45716</v>
      </c>
    </row>
    <row r="6" spans="1: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G6" si="0">B$90+B$7</f>
        <v>90.253504035260008</v>
      </c>
      <c r="C6" s="21">
        <f t="shared" si="0"/>
        <v>97.955877598960015</v>
      </c>
      <c r="D6" s="21">
        <f t="shared" si="0"/>
        <v>111.44992803011999</v>
      </c>
      <c r="E6" s="21">
        <f t="shared" si="0"/>
        <v>145.32087120895997</v>
      </c>
      <c r="F6" s="21">
        <f t="shared" si="0"/>
        <v>166.05925130834001</v>
      </c>
      <c r="G6" s="21">
        <f t="shared" si="0"/>
        <v>169.08837600780004</v>
      </c>
    </row>
    <row r="7" spans="1:19" s="16" customFormat="1" ht="14.5" outlineLevel="1" x14ac:dyDescent="0.25">
      <c r="A7" s="182" t="s">
        <v>1</v>
      </c>
      <c r="B7" s="183">
        <f t="shared" ref="B7:G7" si="1">B$8+B$46</f>
        <v>79.903217077660003</v>
      </c>
      <c r="C7" s="183">
        <f t="shared" si="1"/>
        <v>86.615691312520013</v>
      </c>
      <c r="D7" s="183">
        <f t="shared" si="1"/>
        <v>101.59354286954999</v>
      </c>
      <c r="E7" s="183">
        <f t="shared" si="1"/>
        <v>136.59196737240998</v>
      </c>
      <c r="F7" s="183">
        <f t="shared" si="1"/>
        <v>159.19631191121002</v>
      </c>
      <c r="G7" s="183">
        <f t="shared" si="1"/>
        <v>162.35879084802002</v>
      </c>
    </row>
    <row r="8" spans="1:19" s="17" customFormat="1" ht="14.5" outlineLevel="2" x14ac:dyDescent="0.25">
      <c r="A8" s="184" t="s">
        <v>57</v>
      </c>
      <c r="B8" s="185">
        <f t="shared" ref="B8:G8" si="2">B$9+B$44</f>
        <v>35.392538767910004</v>
      </c>
      <c r="C8" s="185">
        <f t="shared" si="2"/>
        <v>38.952681436220011</v>
      </c>
      <c r="D8" s="185">
        <f t="shared" si="2"/>
        <v>38.00228207715999</v>
      </c>
      <c r="E8" s="185">
        <f t="shared" si="2"/>
        <v>41.80087579141999</v>
      </c>
      <c r="F8" s="185">
        <f t="shared" si="2"/>
        <v>44.319135028530013</v>
      </c>
      <c r="G8" s="185">
        <f t="shared" si="2"/>
        <v>44.313178305210002</v>
      </c>
    </row>
    <row r="9" spans="1:19" s="18" customFormat="1" outlineLevel="3" x14ac:dyDescent="0.25">
      <c r="A9" s="172" t="s">
        <v>58</v>
      </c>
      <c r="B9" s="173">
        <f t="shared" ref="B9:G9" si="3">SUM(B$10:B$43)</f>
        <v>35.322377285950004</v>
      </c>
      <c r="C9" s="173">
        <f t="shared" si="3"/>
        <v>38.884805428450008</v>
      </c>
      <c r="D9" s="173">
        <f t="shared" si="3"/>
        <v>37.955266801959986</v>
      </c>
      <c r="E9" s="173">
        <f t="shared" si="3"/>
        <v>41.759092484669992</v>
      </c>
      <c r="F9" s="173">
        <f t="shared" si="3"/>
        <v>44.284529596720013</v>
      </c>
      <c r="G9" s="173">
        <f t="shared" si="3"/>
        <v>44.278135241480001</v>
      </c>
    </row>
    <row r="10" spans="1:19" s="38" customFormat="1" outlineLevel="4" x14ac:dyDescent="0.25">
      <c r="A10" s="174" t="s">
        <v>59</v>
      </c>
      <c r="B10" s="166">
        <v>2.5383883414600001</v>
      </c>
      <c r="C10" s="166">
        <v>2.9816281866000001</v>
      </c>
      <c r="D10" s="166">
        <v>2.22413354628</v>
      </c>
      <c r="E10" s="166">
        <v>1.9851676302800001</v>
      </c>
      <c r="F10" s="166">
        <v>1.39466778468</v>
      </c>
      <c r="G10" s="166">
        <v>1.4123052223300001</v>
      </c>
    </row>
    <row r="11" spans="1:19" outlineLevel="4" x14ac:dyDescent="0.3">
      <c r="A11" s="175" t="s">
        <v>60</v>
      </c>
      <c r="B11" s="176">
        <v>0.67314833805999996</v>
      </c>
      <c r="C11" s="176">
        <v>0.64274768862999998</v>
      </c>
      <c r="D11" s="176">
        <v>0.47945505163000002</v>
      </c>
      <c r="E11" s="176">
        <v>0.46160853447</v>
      </c>
      <c r="F11" s="176">
        <v>0.41706510620999998</v>
      </c>
      <c r="G11" s="176">
        <v>0.42233945175999998</v>
      </c>
      <c r="H11" s="26"/>
      <c r="I11" s="26"/>
      <c r="J11" s="26"/>
      <c r="K11" s="26"/>
      <c r="L11" s="26"/>
      <c r="M11" s="26"/>
      <c r="N11" s="26"/>
      <c r="O11" s="26"/>
      <c r="P11" s="26"/>
      <c r="Q11" s="26"/>
    </row>
    <row r="12" spans="1:19" outlineLevel="4" x14ac:dyDescent="0.3">
      <c r="A12" s="175" t="s">
        <v>61</v>
      </c>
      <c r="B12" s="176">
        <v>1.96742521474</v>
      </c>
      <c r="C12" s="176">
        <v>3.5161637729300002</v>
      </c>
      <c r="D12" s="176">
        <v>1.47136659314</v>
      </c>
      <c r="E12" s="176">
        <v>3.2715826405300001</v>
      </c>
      <c r="F12" s="176">
        <v>9.0706825079999998E-2</v>
      </c>
      <c r="G12" s="176">
        <v>9.0949752080000001E-2</v>
      </c>
      <c r="H12" s="26"/>
      <c r="I12" s="26"/>
      <c r="J12" s="26"/>
      <c r="K12" s="26"/>
      <c r="L12" s="26"/>
      <c r="M12" s="26"/>
      <c r="N12" s="26"/>
      <c r="O12" s="26"/>
      <c r="P12" s="26"/>
      <c r="Q12" s="26"/>
    </row>
    <row r="13" spans="1:19" outlineLevel="4" x14ac:dyDescent="0.3">
      <c r="A13" s="175" t="s">
        <v>62</v>
      </c>
      <c r="B13" s="176">
        <v>1.29091127722</v>
      </c>
      <c r="C13" s="176">
        <v>1.3380648283200001</v>
      </c>
      <c r="D13" s="176">
        <v>1.36729325161</v>
      </c>
      <c r="E13" s="176">
        <v>1.3163991743700001</v>
      </c>
      <c r="F13" s="176">
        <v>1.18937177385</v>
      </c>
      <c r="G13" s="176">
        <v>1.2044129691300001</v>
      </c>
      <c r="H13" s="26"/>
      <c r="I13" s="26"/>
      <c r="J13" s="26"/>
      <c r="K13" s="26"/>
      <c r="L13" s="26"/>
      <c r="M13" s="26"/>
      <c r="N13" s="26"/>
      <c r="O13" s="26"/>
      <c r="P13" s="26"/>
      <c r="Q13" s="26"/>
    </row>
    <row r="14" spans="1:19" outlineLevel="4" x14ac:dyDescent="0.3">
      <c r="A14" s="175" t="s">
        <v>63</v>
      </c>
      <c r="B14" s="176">
        <v>1.01504534102</v>
      </c>
      <c r="C14" s="176">
        <v>1.05212224414</v>
      </c>
      <c r="D14" s="176">
        <v>0.92155567894000001</v>
      </c>
      <c r="E14" s="176">
        <v>0.88725306985999997</v>
      </c>
      <c r="F14" s="176">
        <v>0.80163659936999998</v>
      </c>
      <c r="G14" s="176">
        <v>0.81177436528000002</v>
      </c>
      <c r="H14" s="26"/>
      <c r="I14" s="26"/>
      <c r="J14" s="26"/>
      <c r="K14" s="26"/>
      <c r="L14" s="26"/>
      <c r="M14" s="26"/>
      <c r="N14" s="26"/>
      <c r="O14" s="26"/>
      <c r="P14" s="26"/>
      <c r="Q14" s="26"/>
    </row>
    <row r="15" spans="1:19" outlineLevel="4" x14ac:dyDescent="0.3">
      <c r="A15" s="175" t="s">
        <v>64</v>
      </c>
      <c r="B15" s="176">
        <v>1.65873257264</v>
      </c>
      <c r="C15" s="176">
        <v>1.71932165613</v>
      </c>
      <c r="D15" s="176">
        <v>1.28252107002</v>
      </c>
      <c r="E15" s="176">
        <v>1.23478242557</v>
      </c>
      <c r="F15" s="176">
        <v>1.1156307239000001</v>
      </c>
      <c r="G15" s="176">
        <v>1.1297393650300001</v>
      </c>
      <c r="H15" s="26"/>
      <c r="I15" s="26"/>
      <c r="J15" s="26"/>
      <c r="K15" s="26"/>
      <c r="L15" s="26"/>
      <c r="M15" s="26"/>
      <c r="N15" s="26"/>
      <c r="O15" s="26"/>
      <c r="P15" s="26"/>
      <c r="Q15" s="26"/>
    </row>
    <row r="16" spans="1:19" outlineLevel="4" x14ac:dyDescent="0.3">
      <c r="A16" s="175" t="s">
        <v>65</v>
      </c>
      <c r="B16" s="176">
        <v>3.5465986079</v>
      </c>
      <c r="C16" s="176">
        <v>4.2928769860499996</v>
      </c>
      <c r="D16" s="176">
        <v>6.4837581148799996</v>
      </c>
      <c r="E16" s="176">
        <v>6.2424164086299996</v>
      </c>
      <c r="F16" s="176">
        <v>5.3641408454299997</v>
      </c>
      <c r="G16" s="176">
        <v>5.4319775738300002</v>
      </c>
      <c r="H16" s="26"/>
      <c r="I16" s="26"/>
      <c r="J16" s="26"/>
      <c r="K16" s="26"/>
      <c r="L16" s="26"/>
      <c r="M16" s="26"/>
      <c r="N16" s="26"/>
      <c r="O16" s="26"/>
      <c r="P16" s="26"/>
      <c r="Q16" s="26"/>
    </row>
    <row r="17" spans="1:17" outlineLevel="4" x14ac:dyDescent="0.3">
      <c r="A17" s="175" t="s">
        <v>66</v>
      </c>
      <c r="B17" s="176">
        <v>0.42786614134000001</v>
      </c>
      <c r="C17" s="176">
        <v>0.44349495202</v>
      </c>
      <c r="D17" s="176">
        <v>0.33082327462</v>
      </c>
      <c r="E17" s="176">
        <v>0.31850920426000001</v>
      </c>
      <c r="F17" s="176">
        <v>0.28777430481999999</v>
      </c>
      <c r="G17" s="176">
        <v>0.29141359542</v>
      </c>
      <c r="H17" s="26"/>
      <c r="I17" s="26"/>
      <c r="J17" s="26"/>
      <c r="K17" s="26"/>
      <c r="L17" s="26"/>
      <c r="M17" s="26"/>
      <c r="N17" s="26"/>
      <c r="O17" s="26"/>
      <c r="P17" s="26"/>
      <c r="Q17" s="26"/>
    </row>
    <row r="18" spans="1:17" outlineLevel="4" x14ac:dyDescent="0.3">
      <c r="A18" s="175" t="s">
        <v>67</v>
      </c>
      <c r="B18" s="176">
        <v>0.42786614134000001</v>
      </c>
      <c r="C18" s="176">
        <v>0.44349495202</v>
      </c>
      <c r="D18" s="176">
        <v>0.74101125010000002</v>
      </c>
      <c r="E18" s="176">
        <v>0.71342895657000005</v>
      </c>
      <c r="F18" s="176">
        <v>0.64458583697000005</v>
      </c>
      <c r="G18" s="176">
        <v>0.65273748616000005</v>
      </c>
      <c r="H18" s="26"/>
      <c r="I18" s="26"/>
      <c r="J18" s="26"/>
      <c r="K18" s="26"/>
      <c r="L18" s="26"/>
      <c r="M18" s="26"/>
      <c r="N18" s="26"/>
      <c r="O18" s="26"/>
      <c r="P18" s="26"/>
      <c r="Q18" s="26"/>
    </row>
    <row r="19" spans="1:17" outlineLevel="4" x14ac:dyDescent="0.3">
      <c r="A19" s="175" t="s">
        <v>68</v>
      </c>
      <c r="B19" s="176">
        <v>1.4937057667</v>
      </c>
      <c r="C19" s="176">
        <v>2.9617775985099999</v>
      </c>
      <c r="D19" s="176">
        <v>1.90368219733</v>
      </c>
      <c r="E19" s="176">
        <v>1.5088939048200001</v>
      </c>
      <c r="F19" s="176">
        <v>6.77509038007</v>
      </c>
      <c r="G19" s="176">
        <v>6.8226534519399999</v>
      </c>
      <c r="H19" s="26"/>
      <c r="I19" s="26"/>
      <c r="J19" s="26"/>
      <c r="K19" s="26"/>
      <c r="L19" s="26"/>
      <c r="M19" s="26"/>
      <c r="N19" s="26"/>
      <c r="O19" s="26"/>
      <c r="P19" s="26"/>
      <c r="Q19" s="26"/>
    </row>
    <row r="20" spans="1:17" outlineLevel="4" x14ac:dyDescent="0.3">
      <c r="A20" s="175" t="s">
        <v>69</v>
      </c>
      <c r="B20" s="176">
        <v>0.42786614134000001</v>
      </c>
      <c r="C20" s="176">
        <v>0.44349495202</v>
      </c>
      <c r="D20" s="176">
        <v>0.33082327462</v>
      </c>
      <c r="E20" s="176">
        <v>0.31850920426000001</v>
      </c>
      <c r="F20" s="176">
        <v>0.28777430481999999</v>
      </c>
      <c r="G20" s="176">
        <v>0.29141359542</v>
      </c>
      <c r="H20" s="26"/>
      <c r="I20" s="26"/>
      <c r="J20" s="26"/>
      <c r="K20" s="26"/>
      <c r="L20" s="26"/>
      <c r="M20" s="26"/>
      <c r="N20" s="26"/>
      <c r="O20" s="26"/>
      <c r="P20" s="26"/>
      <c r="Q20" s="26"/>
    </row>
    <row r="21" spans="1:17" outlineLevel="4" x14ac:dyDescent="0.3">
      <c r="A21" s="175" t="s">
        <v>70</v>
      </c>
      <c r="B21" s="176">
        <v>0.42786614134000001</v>
      </c>
      <c r="C21" s="176">
        <v>0.44349495202</v>
      </c>
      <c r="D21" s="176">
        <v>0.33082327462</v>
      </c>
      <c r="E21" s="176">
        <v>0.31850920426000001</v>
      </c>
      <c r="F21" s="176">
        <v>0.28777430481999999</v>
      </c>
      <c r="G21" s="176">
        <v>0.29141359542</v>
      </c>
      <c r="H21" s="26"/>
      <c r="I21" s="26"/>
      <c r="J21" s="26"/>
      <c r="K21" s="26"/>
      <c r="L21" s="26"/>
      <c r="M21" s="26"/>
      <c r="N21" s="26"/>
      <c r="O21" s="26"/>
      <c r="P21" s="26"/>
      <c r="Q21" s="26"/>
    </row>
    <row r="22" spans="1:17" outlineLevel="4" x14ac:dyDescent="0.3">
      <c r="A22" s="175" t="s">
        <v>71</v>
      </c>
      <c r="B22" s="176">
        <v>3.6177396860700002</v>
      </c>
      <c r="C22" s="176">
        <v>2.2411606184299999</v>
      </c>
      <c r="D22" s="176">
        <v>1.6427051342200001</v>
      </c>
      <c r="E22" s="176">
        <v>5.0738630260099997</v>
      </c>
      <c r="F22" s="176">
        <v>6.7944584315099998</v>
      </c>
      <c r="G22" s="176">
        <v>6.6188429927100003</v>
      </c>
      <c r="H22" s="26"/>
      <c r="I22" s="26"/>
      <c r="J22" s="26"/>
      <c r="K22" s="26"/>
      <c r="L22" s="26"/>
      <c r="M22" s="26"/>
      <c r="N22" s="26"/>
      <c r="O22" s="26"/>
      <c r="P22" s="26"/>
      <c r="Q22" s="26"/>
    </row>
    <row r="23" spans="1:17" outlineLevel="4" x14ac:dyDescent="0.3">
      <c r="A23" s="175" t="s">
        <v>72</v>
      </c>
      <c r="B23" s="176">
        <v>0.42786614134000001</v>
      </c>
      <c r="C23" s="176">
        <v>0.44349495202</v>
      </c>
      <c r="D23" s="176">
        <v>0.33082327462</v>
      </c>
      <c r="E23" s="176">
        <v>0.31850920426000001</v>
      </c>
      <c r="F23" s="176">
        <v>0.28777430481999999</v>
      </c>
      <c r="G23" s="176">
        <v>0.29141359542</v>
      </c>
      <c r="H23" s="26"/>
      <c r="I23" s="26"/>
      <c r="J23" s="26"/>
      <c r="K23" s="26"/>
      <c r="L23" s="26"/>
      <c r="M23" s="26"/>
      <c r="N23" s="26"/>
      <c r="O23" s="26"/>
      <c r="P23" s="26"/>
      <c r="Q23" s="26"/>
    </row>
    <row r="24" spans="1:17" outlineLevel="4" x14ac:dyDescent="0.3">
      <c r="A24" s="175" t="s">
        <v>73</v>
      </c>
      <c r="B24" s="176">
        <v>0.42786614134000001</v>
      </c>
      <c r="C24" s="176">
        <v>0.44349495202</v>
      </c>
      <c r="D24" s="176">
        <v>0.33082327462</v>
      </c>
      <c r="E24" s="176">
        <v>0.31850920426000001</v>
      </c>
      <c r="F24" s="176">
        <v>0.28777430481999999</v>
      </c>
      <c r="G24" s="176">
        <v>0.29141359542</v>
      </c>
      <c r="H24" s="26"/>
      <c r="I24" s="26"/>
      <c r="J24" s="26"/>
      <c r="K24" s="26"/>
      <c r="L24" s="26"/>
      <c r="M24" s="26"/>
      <c r="N24" s="26"/>
      <c r="O24" s="26"/>
      <c r="P24" s="26"/>
      <c r="Q24" s="26"/>
    </row>
    <row r="25" spans="1:17" outlineLevel="4" x14ac:dyDescent="0.3">
      <c r="A25" s="175" t="s">
        <v>74</v>
      </c>
      <c r="B25" s="176">
        <v>0.42786614134000001</v>
      </c>
      <c r="C25" s="176">
        <v>0.44349495202</v>
      </c>
      <c r="D25" s="176">
        <v>0.33082327462</v>
      </c>
      <c r="E25" s="176">
        <v>0.31850920426000001</v>
      </c>
      <c r="F25" s="176">
        <v>0.28777430481999999</v>
      </c>
      <c r="G25" s="176">
        <v>0.29141359542</v>
      </c>
      <c r="H25" s="26"/>
      <c r="I25" s="26"/>
      <c r="J25" s="26"/>
      <c r="K25" s="26"/>
      <c r="L25" s="26"/>
      <c r="M25" s="26"/>
      <c r="N25" s="26"/>
      <c r="O25" s="26"/>
      <c r="P25" s="26"/>
      <c r="Q25" s="26"/>
    </row>
    <row r="26" spans="1:17" outlineLevel="4" x14ac:dyDescent="0.3">
      <c r="A26" s="175" t="s">
        <v>75</v>
      </c>
      <c r="B26" s="176">
        <v>0.42786614134000001</v>
      </c>
      <c r="C26" s="176">
        <v>0.44349495202</v>
      </c>
      <c r="D26" s="176">
        <v>0.33082327462</v>
      </c>
      <c r="E26" s="176">
        <v>0.31850920426000001</v>
      </c>
      <c r="F26" s="176">
        <v>0.28777430481999999</v>
      </c>
      <c r="G26" s="176">
        <v>0.29141359542</v>
      </c>
      <c r="H26" s="26"/>
      <c r="I26" s="26"/>
      <c r="J26" s="26"/>
      <c r="K26" s="26"/>
      <c r="L26" s="26"/>
      <c r="M26" s="26"/>
      <c r="N26" s="26"/>
      <c r="O26" s="26"/>
      <c r="P26" s="26"/>
      <c r="Q26" s="26"/>
    </row>
    <row r="27" spans="1:17" outlineLevel="4" x14ac:dyDescent="0.3">
      <c r="A27" s="175" t="s">
        <v>76</v>
      </c>
      <c r="B27" s="176">
        <v>0.42786614134000001</v>
      </c>
      <c r="C27" s="176">
        <v>0.44349495202</v>
      </c>
      <c r="D27" s="176">
        <v>0.33082327462</v>
      </c>
      <c r="E27" s="176">
        <v>0.31850920426000001</v>
      </c>
      <c r="F27" s="176">
        <v>0.28777430481999999</v>
      </c>
      <c r="G27" s="176">
        <v>0.29141359542</v>
      </c>
      <c r="H27" s="26"/>
      <c r="I27" s="26"/>
      <c r="J27" s="26"/>
      <c r="K27" s="26"/>
      <c r="L27" s="26"/>
      <c r="M27" s="26"/>
      <c r="N27" s="26"/>
      <c r="O27" s="26"/>
      <c r="P27" s="26"/>
      <c r="Q27" s="26"/>
    </row>
    <row r="28" spans="1:17" outlineLevel="4" x14ac:dyDescent="0.3">
      <c r="A28" s="175" t="s">
        <v>77</v>
      </c>
      <c r="B28" s="176">
        <v>0.42786614134000001</v>
      </c>
      <c r="C28" s="176">
        <v>0.44349495202</v>
      </c>
      <c r="D28" s="176">
        <v>0.33082327462</v>
      </c>
      <c r="E28" s="176">
        <v>0.31850920426000001</v>
      </c>
      <c r="F28" s="176">
        <v>0.28777430481999999</v>
      </c>
      <c r="G28" s="176">
        <v>0.29141359542</v>
      </c>
      <c r="H28" s="26"/>
      <c r="I28" s="26"/>
      <c r="J28" s="26"/>
      <c r="K28" s="26"/>
      <c r="L28" s="26"/>
      <c r="M28" s="26"/>
      <c r="N28" s="26"/>
      <c r="O28" s="26"/>
      <c r="P28" s="26"/>
      <c r="Q28" s="26"/>
    </row>
    <row r="29" spans="1:17" outlineLevel="4" x14ac:dyDescent="0.3">
      <c r="A29" s="175" t="s">
        <v>78</v>
      </c>
      <c r="B29" s="176">
        <v>0.42786614134000001</v>
      </c>
      <c r="C29" s="176">
        <v>0.44349495202</v>
      </c>
      <c r="D29" s="176">
        <v>0.33082327462</v>
      </c>
      <c r="E29" s="176">
        <v>0.31850920426000001</v>
      </c>
      <c r="F29" s="176">
        <v>0.28777430481999999</v>
      </c>
      <c r="G29" s="176">
        <v>0.29141359542</v>
      </c>
      <c r="H29" s="26"/>
      <c r="I29" s="26"/>
      <c r="J29" s="26"/>
      <c r="K29" s="26"/>
      <c r="L29" s="26"/>
      <c r="M29" s="26"/>
      <c r="N29" s="26"/>
      <c r="O29" s="26"/>
      <c r="P29" s="26"/>
      <c r="Q29" s="26"/>
    </row>
    <row r="30" spans="1:17" outlineLevel="4" x14ac:dyDescent="0.3">
      <c r="A30" s="175" t="s">
        <v>79</v>
      </c>
      <c r="B30" s="176">
        <v>0.42786614134000001</v>
      </c>
      <c r="C30" s="176">
        <v>0.44349495202</v>
      </c>
      <c r="D30" s="176">
        <v>0.33082327462</v>
      </c>
      <c r="E30" s="176">
        <v>0.31850920426000001</v>
      </c>
      <c r="F30" s="176">
        <v>0.28777430481999999</v>
      </c>
      <c r="G30" s="176">
        <v>0.29141359542</v>
      </c>
      <c r="H30" s="26"/>
      <c r="I30" s="26"/>
      <c r="J30" s="26"/>
      <c r="K30" s="26"/>
      <c r="L30" s="26"/>
      <c r="M30" s="26"/>
      <c r="N30" s="26"/>
      <c r="O30" s="26"/>
      <c r="P30" s="26"/>
      <c r="Q30" s="26"/>
    </row>
    <row r="31" spans="1:17" outlineLevel="4" x14ac:dyDescent="0.3">
      <c r="A31" s="175" t="s">
        <v>80</v>
      </c>
      <c r="B31" s="176">
        <v>0.42786614134000001</v>
      </c>
      <c r="C31" s="176">
        <v>0.44349495202</v>
      </c>
      <c r="D31" s="176">
        <v>0.33082327462</v>
      </c>
      <c r="E31" s="176">
        <v>0.31850920426000001</v>
      </c>
      <c r="F31" s="176">
        <v>0.28777430481999999</v>
      </c>
      <c r="G31" s="176">
        <v>0.29141359542</v>
      </c>
      <c r="H31" s="26"/>
      <c r="I31" s="26"/>
      <c r="J31" s="26"/>
      <c r="K31" s="26"/>
      <c r="L31" s="26"/>
      <c r="M31" s="26"/>
      <c r="N31" s="26"/>
      <c r="O31" s="26"/>
      <c r="P31" s="26"/>
      <c r="Q31" s="26"/>
    </row>
    <row r="32" spans="1:17" outlineLevel="4" x14ac:dyDescent="0.3">
      <c r="A32" s="175" t="s">
        <v>81</v>
      </c>
      <c r="B32" s="176">
        <v>0.42786614134000001</v>
      </c>
      <c r="C32" s="176">
        <v>0.44349495202</v>
      </c>
      <c r="D32" s="176">
        <v>0.33082327462</v>
      </c>
      <c r="E32" s="176">
        <v>0.31850920426000001</v>
      </c>
      <c r="F32" s="176">
        <v>0.28777430481999999</v>
      </c>
      <c r="G32" s="176">
        <v>0.29141359542</v>
      </c>
      <c r="H32" s="26"/>
      <c r="I32" s="26"/>
      <c r="J32" s="26"/>
      <c r="K32" s="26"/>
      <c r="L32" s="26"/>
      <c r="M32" s="26"/>
      <c r="N32" s="26"/>
      <c r="O32" s="26"/>
      <c r="P32" s="26"/>
      <c r="Q32" s="26"/>
    </row>
    <row r="33" spans="1:17" outlineLevel="4" x14ac:dyDescent="0.3">
      <c r="A33" s="175" t="s">
        <v>82</v>
      </c>
      <c r="B33" s="176">
        <v>1.1826506051800001</v>
      </c>
      <c r="C33" s="176">
        <v>4.1147456020000001E-2</v>
      </c>
      <c r="D33" s="176">
        <v>0</v>
      </c>
      <c r="E33" s="176">
        <v>0</v>
      </c>
      <c r="F33" s="176">
        <v>0</v>
      </c>
      <c r="G33" s="176">
        <v>0</v>
      </c>
      <c r="H33" s="26"/>
      <c r="I33" s="26"/>
      <c r="J33" s="26"/>
      <c r="K33" s="26"/>
      <c r="L33" s="26"/>
      <c r="M33" s="26"/>
      <c r="N33" s="26"/>
      <c r="O33" s="26"/>
      <c r="P33" s="26"/>
      <c r="Q33" s="26"/>
    </row>
    <row r="34" spans="1:17" outlineLevel="4" x14ac:dyDescent="0.3">
      <c r="A34" s="175" t="s">
        <v>83</v>
      </c>
      <c r="B34" s="176">
        <v>2.1574173242899999</v>
      </c>
      <c r="C34" s="176">
        <v>3.3531759060400002</v>
      </c>
      <c r="D34" s="176">
        <v>1.1345416286000001</v>
      </c>
      <c r="E34" s="176">
        <v>3.3204868307900002</v>
      </c>
      <c r="F34" s="176">
        <v>6.7689049215299999</v>
      </c>
      <c r="G34" s="176">
        <v>7.0964273016100003</v>
      </c>
      <c r="H34" s="26"/>
      <c r="I34" s="26"/>
      <c r="J34" s="26"/>
      <c r="K34" s="26"/>
      <c r="L34" s="26"/>
      <c r="M34" s="26"/>
      <c r="N34" s="26"/>
      <c r="O34" s="26"/>
      <c r="P34" s="26"/>
      <c r="Q34" s="26"/>
    </row>
    <row r="35" spans="1:17" outlineLevel="4" x14ac:dyDescent="0.3">
      <c r="A35" s="175" t="s">
        <v>84</v>
      </c>
      <c r="B35" s="176">
        <v>0.42786638891000001</v>
      </c>
      <c r="C35" s="176">
        <v>0.44349520863000003</v>
      </c>
      <c r="D35" s="176">
        <v>7.0305603988399996</v>
      </c>
      <c r="E35" s="176">
        <v>6.7688653429299999</v>
      </c>
      <c r="F35" s="176">
        <v>6.1156961631</v>
      </c>
      <c r="G35" s="176">
        <v>6.1930373127399996</v>
      </c>
      <c r="H35" s="26"/>
      <c r="I35" s="26"/>
      <c r="J35" s="26"/>
      <c r="K35" s="26"/>
      <c r="L35" s="26"/>
      <c r="M35" s="26"/>
      <c r="N35" s="26"/>
      <c r="O35" s="26"/>
      <c r="P35" s="26"/>
      <c r="Q35" s="26"/>
    </row>
    <row r="36" spans="1:17" outlineLevel="4" x14ac:dyDescent="0.3">
      <c r="A36" s="175" t="s">
        <v>85</v>
      </c>
      <c r="B36" s="176">
        <v>0.66909282536000003</v>
      </c>
      <c r="C36" s="176">
        <v>1.54523967858</v>
      </c>
      <c r="D36" s="176">
        <v>1.3651590982999999</v>
      </c>
      <c r="E36" s="176">
        <v>0.59342221659000005</v>
      </c>
      <c r="F36" s="176">
        <v>0.38516142152999999</v>
      </c>
      <c r="G36" s="176">
        <v>0.87179748997999995</v>
      </c>
      <c r="H36" s="26"/>
      <c r="I36" s="26"/>
      <c r="J36" s="26"/>
      <c r="K36" s="26"/>
      <c r="L36" s="26"/>
      <c r="M36" s="26"/>
      <c r="N36" s="26"/>
      <c r="O36" s="26"/>
      <c r="P36" s="26"/>
      <c r="Q36" s="26"/>
    </row>
    <row r="37" spans="1:17" outlineLevel="4" x14ac:dyDescent="0.3">
      <c r="A37" s="175" t="s">
        <v>86</v>
      </c>
      <c r="B37" s="176">
        <v>2.0505828906499999</v>
      </c>
      <c r="C37" s="176">
        <v>1.88681203308</v>
      </c>
      <c r="D37" s="176">
        <v>1.8451328735700001</v>
      </c>
      <c r="E37" s="176">
        <v>1.08127016724</v>
      </c>
      <c r="F37" s="176">
        <v>1.09586897881</v>
      </c>
      <c r="G37" s="176">
        <v>1.10972770632</v>
      </c>
      <c r="H37" s="26"/>
      <c r="I37" s="26"/>
      <c r="J37" s="26"/>
      <c r="K37" s="26"/>
      <c r="L37" s="26"/>
      <c r="M37" s="26"/>
      <c r="N37" s="26"/>
      <c r="O37" s="26"/>
      <c r="P37" s="26"/>
      <c r="Q37" s="26"/>
    </row>
    <row r="38" spans="1:17" outlineLevel="4" x14ac:dyDescent="0.3">
      <c r="A38" s="175" t="s">
        <v>87</v>
      </c>
      <c r="B38" s="176">
        <v>0.39557383659000001</v>
      </c>
      <c r="C38" s="176">
        <v>0.97407988796</v>
      </c>
      <c r="D38" s="176">
        <v>1.28518943552</v>
      </c>
      <c r="E38" s="176">
        <v>0</v>
      </c>
      <c r="F38" s="176">
        <v>0</v>
      </c>
      <c r="G38" s="176">
        <v>0</v>
      </c>
      <c r="H38" s="26"/>
      <c r="I38" s="26"/>
      <c r="J38" s="26"/>
      <c r="K38" s="26"/>
      <c r="L38" s="26"/>
      <c r="M38" s="26"/>
      <c r="N38" s="26"/>
      <c r="O38" s="26"/>
      <c r="P38" s="26"/>
      <c r="Q38" s="26"/>
    </row>
    <row r="39" spans="1:17" outlineLevel="4" x14ac:dyDescent="0.3">
      <c r="A39" s="175" t="s">
        <v>88</v>
      </c>
      <c r="B39" s="176">
        <v>1.6580396185999999</v>
      </c>
      <c r="C39" s="176">
        <v>1.50597939013</v>
      </c>
      <c r="D39" s="176">
        <v>1.1233792652800001</v>
      </c>
      <c r="E39" s="176">
        <v>1.08156427714</v>
      </c>
      <c r="F39" s="176">
        <v>0.97719753088000005</v>
      </c>
      <c r="G39" s="176">
        <v>0</v>
      </c>
      <c r="H39" s="26"/>
      <c r="I39" s="26"/>
      <c r="J39" s="26"/>
      <c r="K39" s="26"/>
      <c r="L39" s="26"/>
      <c r="M39" s="26"/>
      <c r="N39" s="26"/>
      <c r="O39" s="26"/>
      <c r="P39" s="26"/>
      <c r="Q39" s="26"/>
    </row>
    <row r="40" spans="1:17" outlineLevel="4" x14ac:dyDescent="0.3">
      <c r="A40" s="175" t="s">
        <v>89</v>
      </c>
      <c r="B40" s="176">
        <v>0.60994022902</v>
      </c>
      <c r="C40" s="176">
        <v>0.87867744205999998</v>
      </c>
      <c r="D40" s="176">
        <v>0.58743542275000005</v>
      </c>
      <c r="E40" s="176">
        <v>0.46815606701000001</v>
      </c>
      <c r="F40" s="176">
        <v>0.42298082732999998</v>
      </c>
      <c r="G40" s="176">
        <v>0.42832998505999997</v>
      </c>
      <c r="H40" s="26"/>
      <c r="I40" s="26"/>
      <c r="J40" s="26"/>
      <c r="K40" s="26"/>
      <c r="L40" s="26"/>
      <c r="M40" s="26"/>
      <c r="N40" s="26"/>
      <c r="O40" s="26"/>
      <c r="P40" s="26"/>
      <c r="Q40" s="26"/>
    </row>
    <row r="41" spans="1:17" outlineLevel="4" x14ac:dyDescent="0.3">
      <c r="A41" s="175" t="s">
        <v>90</v>
      </c>
      <c r="B41" s="176">
        <v>0.61893006440999998</v>
      </c>
      <c r="C41" s="176">
        <v>0.64153793137000004</v>
      </c>
      <c r="D41" s="176">
        <v>0.27345865032</v>
      </c>
      <c r="E41" s="176">
        <v>6.5819958720000002E-2</v>
      </c>
      <c r="F41" s="176">
        <v>5.9468588689999997E-2</v>
      </c>
      <c r="G41" s="176">
        <v>6.0220648459999998E-2</v>
      </c>
      <c r="H41" s="26"/>
      <c r="I41" s="26"/>
      <c r="J41" s="26"/>
      <c r="K41" s="26"/>
      <c r="L41" s="26"/>
      <c r="M41" s="26"/>
      <c r="N41" s="26"/>
      <c r="O41" s="26"/>
      <c r="P41" s="26"/>
      <c r="Q41" s="26"/>
    </row>
    <row r="42" spans="1:17" outlineLevel="4" x14ac:dyDescent="0.3">
      <c r="A42" s="175" t="s">
        <v>91</v>
      </c>
      <c r="B42" s="176">
        <v>1.1238485978199999</v>
      </c>
      <c r="C42" s="176">
        <v>0</v>
      </c>
      <c r="D42" s="176">
        <v>0</v>
      </c>
      <c r="E42" s="176">
        <v>1.2012284124199999</v>
      </c>
      <c r="F42" s="176">
        <v>0</v>
      </c>
      <c r="G42" s="176">
        <v>0</v>
      </c>
      <c r="H42" s="26"/>
      <c r="I42" s="26"/>
      <c r="J42" s="26"/>
      <c r="K42" s="26"/>
      <c r="L42" s="26"/>
      <c r="M42" s="26"/>
      <c r="N42" s="26"/>
      <c r="O42" s="26"/>
      <c r="P42" s="26"/>
      <c r="Q42" s="26"/>
    </row>
    <row r="43" spans="1:17" outlineLevel="4" x14ac:dyDescent="0.3">
      <c r="A43" s="175" t="s">
        <v>92</v>
      </c>
      <c r="B43" s="176">
        <v>0.63661378054999995</v>
      </c>
      <c r="C43" s="176">
        <v>0.65986758656</v>
      </c>
      <c r="D43" s="176">
        <v>0.49222557056999999</v>
      </c>
      <c r="E43" s="176">
        <v>0.34226378534000002</v>
      </c>
      <c r="F43" s="176">
        <v>0.13083089512000001</v>
      </c>
      <c r="G43" s="176">
        <v>0.13248542660000001</v>
      </c>
      <c r="H43" s="26"/>
      <c r="I43" s="26"/>
      <c r="J43" s="26"/>
      <c r="K43" s="26"/>
      <c r="L43" s="26"/>
      <c r="M43" s="26"/>
      <c r="N43" s="26"/>
      <c r="O43" s="26"/>
      <c r="P43" s="26"/>
      <c r="Q43" s="26"/>
    </row>
    <row r="44" spans="1:17" outlineLevel="3" x14ac:dyDescent="0.3">
      <c r="A44" s="177" t="s">
        <v>93</v>
      </c>
      <c r="B44" s="176">
        <f t="shared" ref="B44:G44" si="4">SUM(B$45:B$45)</f>
        <v>7.0161481959999994E-2</v>
      </c>
      <c r="C44" s="176">
        <f t="shared" si="4"/>
        <v>6.7876007769999996E-2</v>
      </c>
      <c r="D44" s="176">
        <f t="shared" si="4"/>
        <v>4.7015275199999998E-2</v>
      </c>
      <c r="E44" s="176">
        <f t="shared" si="4"/>
        <v>4.1783306749999999E-2</v>
      </c>
      <c r="F44" s="176">
        <f t="shared" si="4"/>
        <v>3.4605431809999997E-2</v>
      </c>
      <c r="G44" s="176">
        <f t="shared" si="4"/>
        <v>3.5043063729999997E-2</v>
      </c>
      <c r="H44" s="26"/>
      <c r="I44" s="26"/>
      <c r="J44" s="26"/>
      <c r="K44" s="26"/>
      <c r="L44" s="26"/>
      <c r="M44" s="26"/>
      <c r="N44" s="26"/>
      <c r="O44" s="26"/>
      <c r="P44" s="26"/>
      <c r="Q44" s="26"/>
    </row>
    <row r="45" spans="1:17" outlineLevel="4" x14ac:dyDescent="0.3">
      <c r="A45" s="175" t="s">
        <v>94</v>
      </c>
      <c r="B45" s="176">
        <v>7.0161481959999994E-2</v>
      </c>
      <c r="C45" s="176">
        <v>6.7876007769999996E-2</v>
      </c>
      <c r="D45" s="176">
        <v>4.7015275199999998E-2</v>
      </c>
      <c r="E45" s="176">
        <v>4.1783306749999999E-2</v>
      </c>
      <c r="F45" s="176">
        <v>3.4605431809999997E-2</v>
      </c>
      <c r="G45" s="176">
        <v>3.5043063729999997E-2</v>
      </c>
      <c r="H45" s="26"/>
      <c r="I45" s="26"/>
      <c r="J45" s="26"/>
      <c r="K45" s="26"/>
      <c r="L45" s="26"/>
      <c r="M45" s="26"/>
      <c r="N45" s="26"/>
      <c r="O45" s="26"/>
      <c r="P45" s="26"/>
      <c r="Q45" s="26"/>
    </row>
    <row r="46" spans="1:17" ht="14.5" outlineLevel="2" x14ac:dyDescent="0.35">
      <c r="A46" s="186" t="s">
        <v>95</v>
      </c>
      <c r="B46" s="187">
        <f t="shared" ref="B46:G46" si="5">B$47+B$57+B$68+B$70+B$77+B$86+B$88</f>
        <v>44.510678309749999</v>
      </c>
      <c r="C46" s="187">
        <f t="shared" si="5"/>
        <v>47.663009876300002</v>
      </c>
      <c r="D46" s="187">
        <f t="shared" si="5"/>
        <v>63.591260792390003</v>
      </c>
      <c r="E46" s="187">
        <f t="shared" si="5"/>
        <v>94.791091580989999</v>
      </c>
      <c r="F46" s="187">
        <f t="shared" si="5"/>
        <v>114.87717688268</v>
      </c>
      <c r="G46" s="187">
        <f t="shared" si="5"/>
        <v>118.04561254281001</v>
      </c>
      <c r="H46" s="26"/>
      <c r="I46" s="26"/>
      <c r="J46" s="26"/>
      <c r="K46" s="26"/>
      <c r="L46" s="26"/>
      <c r="M46" s="26"/>
      <c r="N46" s="26"/>
      <c r="O46" s="26"/>
      <c r="P46" s="26"/>
      <c r="Q46" s="26"/>
    </row>
    <row r="47" spans="1:17" outlineLevel="3" x14ac:dyDescent="0.3">
      <c r="A47" s="177" t="s">
        <v>96</v>
      </c>
      <c r="B47" s="176">
        <f t="shared" ref="B47:G47" si="6">SUM(B$48:B$56)</f>
        <v>15.678814377210001</v>
      </c>
      <c r="C47" s="176">
        <f t="shared" si="6"/>
        <v>16.97941619561</v>
      </c>
      <c r="D47" s="176">
        <f t="shared" si="6"/>
        <v>30.087463237860003</v>
      </c>
      <c r="E47" s="176">
        <f t="shared" si="6"/>
        <v>59.305881467679995</v>
      </c>
      <c r="F47" s="176">
        <f t="shared" si="6"/>
        <v>82.827489272820003</v>
      </c>
      <c r="G47" s="176">
        <f t="shared" si="6"/>
        <v>85.946924079140004</v>
      </c>
      <c r="H47" s="26"/>
      <c r="I47" s="26"/>
      <c r="J47" s="26"/>
      <c r="K47" s="26"/>
      <c r="L47" s="26"/>
      <c r="M47" s="26"/>
      <c r="N47" s="26"/>
      <c r="O47" s="26"/>
      <c r="P47" s="26"/>
      <c r="Q47" s="26"/>
    </row>
    <row r="48" spans="1:17" outlineLevel="4" x14ac:dyDescent="0.3">
      <c r="A48" s="175" t="s">
        <v>97</v>
      </c>
      <c r="B48" s="176">
        <v>0</v>
      </c>
      <c r="C48" s="176">
        <v>2.2672023800000001E-3</v>
      </c>
      <c r="D48" s="176">
        <v>2.13029758E-3</v>
      </c>
      <c r="E48" s="176">
        <v>6.6717266900000001E-3</v>
      </c>
      <c r="F48" s="176">
        <v>1.146224364E-2</v>
      </c>
      <c r="G48" s="176">
        <v>1.1492941309999999E-2</v>
      </c>
      <c r="H48" s="26"/>
      <c r="I48" s="26"/>
      <c r="J48" s="26"/>
      <c r="K48" s="26"/>
      <c r="L48" s="26"/>
      <c r="M48" s="26"/>
      <c r="N48" s="26"/>
      <c r="O48" s="26"/>
      <c r="P48" s="26"/>
      <c r="Q48" s="26"/>
    </row>
    <row r="49" spans="1:17" outlineLevel="4" x14ac:dyDescent="0.3">
      <c r="A49" s="175" t="s">
        <v>98</v>
      </c>
      <c r="B49" s="176">
        <v>0</v>
      </c>
      <c r="C49" s="176">
        <v>0</v>
      </c>
      <c r="D49" s="176">
        <v>0</v>
      </c>
      <c r="E49" s="176">
        <v>0</v>
      </c>
      <c r="F49" s="176">
        <v>0.12100019522</v>
      </c>
      <c r="G49" s="176">
        <v>0.12351383991999999</v>
      </c>
      <c r="H49" s="26"/>
      <c r="I49" s="26"/>
      <c r="J49" s="26"/>
      <c r="K49" s="26"/>
      <c r="L49" s="26"/>
      <c r="M49" s="26"/>
      <c r="N49" s="26"/>
      <c r="O49" s="26"/>
      <c r="P49" s="26"/>
      <c r="Q49" s="26"/>
    </row>
    <row r="50" spans="1:17" outlineLevel="4" x14ac:dyDescent="0.3">
      <c r="A50" s="175" t="s">
        <v>99</v>
      </c>
      <c r="B50" s="176">
        <v>0.48430295177999999</v>
      </c>
      <c r="C50" s="176">
        <v>0.3863149676</v>
      </c>
      <c r="D50" s="176">
        <v>0.25855498448999997</v>
      </c>
      <c r="E50" s="176">
        <v>0.19374588745999999</v>
      </c>
      <c r="F50" s="176">
        <v>0.10114868791000001</v>
      </c>
      <c r="G50" s="176">
        <v>0.10309589916</v>
      </c>
      <c r="H50" s="26"/>
      <c r="I50" s="26"/>
      <c r="J50" s="26"/>
      <c r="K50" s="26"/>
      <c r="L50" s="26"/>
      <c r="M50" s="26"/>
      <c r="N50" s="26"/>
      <c r="O50" s="26"/>
      <c r="P50" s="26"/>
      <c r="Q50" s="26"/>
    </row>
    <row r="51" spans="1:17" outlineLevel="4" x14ac:dyDescent="0.3">
      <c r="A51" s="175" t="s">
        <v>100</v>
      </c>
      <c r="B51" s="176">
        <v>0.95439248045000002</v>
      </c>
      <c r="C51" s="176">
        <v>1.0156447287699999</v>
      </c>
      <c r="D51" s="176">
        <v>2.6833592883700002</v>
      </c>
      <c r="E51" s="176">
        <v>3.0297750091800002</v>
      </c>
      <c r="F51" s="176">
        <v>2.9522925032999998</v>
      </c>
      <c r="G51" s="176">
        <v>2.9481677742899999</v>
      </c>
      <c r="H51" s="26"/>
      <c r="I51" s="26"/>
      <c r="J51" s="26"/>
      <c r="K51" s="26"/>
      <c r="L51" s="26"/>
      <c r="M51" s="26"/>
      <c r="N51" s="26"/>
      <c r="O51" s="26"/>
      <c r="P51" s="26"/>
      <c r="Q51" s="26"/>
    </row>
    <row r="52" spans="1:17" outlineLevel="4" x14ac:dyDescent="0.3">
      <c r="A52" s="175" t="s">
        <v>101</v>
      </c>
      <c r="B52" s="176">
        <v>4.6811582126699998</v>
      </c>
      <c r="C52" s="176">
        <v>4.9991812509700004</v>
      </c>
      <c r="D52" s="176">
        <v>12.366377438580001</v>
      </c>
      <c r="E52" s="176">
        <v>32.90407975798</v>
      </c>
      <c r="F52" s="176">
        <v>44.012826736089998</v>
      </c>
      <c r="G52" s="176">
        <v>47.273798653260002</v>
      </c>
      <c r="H52" s="26"/>
      <c r="I52" s="26"/>
      <c r="J52" s="26"/>
      <c r="K52" s="26"/>
      <c r="L52" s="26"/>
      <c r="M52" s="26"/>
      <c r="N52" s="26"/>
      <c r="O52" s="26"/>
      <c r="P52" s="26"/>
      <c r="Q52" s="26"/>
    </row>
    <row r="53" spans="1:17" outlineLevel="4" x14ac:dyDescent="0.3">
      <c r="A53" s="175" t="s">
        <v>102</v>
      </c>
      <c r="B53" s="176">
        <v>0</v>
      </c>
      <c r="C53" s="176">
        <v>0</v>
      </c>
      <c r="D53" s="176">
        <v>0.57660198080000002</v>
      </c>
      <c r="E53" s="176">
        <v>1.05085771959</v>
      </c>
      <c r="F53" s="176">
        <v>5.7900951672299996</v>
      </c>
      <c r="G53" s="176">
        <v>5.7927417747199996</v>
      </c>
      <c r="H53" s="26"/>
      <c r="I53" s="26"/>
      <c r="J53" s="26"/>
      <c r="K53" s="26"/>
      <c r="L53" s="26"/>
      <c r="M53" s="26"/>
      <c r="N53" s="26"/>
      <c r="O53" s="26"/>
      <c r="P53" s="26"/>
      <c r="Q53" s="26"/>
    </row>
    <row r="54" spans="1:17" outlineLevel="4" x14ac:dyDescent="0.3">
      <c r="A54" s="175" t="s">
        <v>103</v>
      </c>
      <c r="B54" s="176">
        <v>5.2931177325599998</v>
      </c>
      <c r="C54" s="176">
        <v>6.1552473171899997</v>
      </c>
      <c r="D54" s="176">
        <v>7.72193497584</v>
      </c>
      <c r="E54" s="176">
        <v>12.00422151197</v>
      </c>
      <c r="F54" s="176">
        <v>16.17518239755</v>
      </c>
      <c r="G54" s="176">
        <v>16.06466800155</v>
      </c>
      <c r="H54" s="26"/>
      <c r="I54" s="26"/>
      <c r="J54" s="26"/>
      <c r="K54" s="26"/>
      <c r="L54" s="26"/>
      <c r="M54" s="26"/>
      <c r="N54" s="26"/>
      <c r="O54" s="26"/>
      <c r="P54" s="26"/>
      <c r="Q54" s="26"/>
    </row>
    <row r="55" spans="1:17" outlineLevel="4" x14ac:dyDescent="0.3">
      <c r="A55" s="175" t="s">
        <v>104</v>
      </c>
      <c r="B55" s="176">
        <v>4.2288694837199996</v>
      </c>
      <c r="C55" s="176">
        <v>4.3625608583400002</v>
      </c>
      <c r="D55" s="176">
        <v>6.4009203970500002</v>
      </c>
      <c r="E55" s="176">
        <v>10.00235119221</v>
      </c>
      <c r="F55" s="176">
        <v>13.54928616023</v>
      </c>
      <c r="G55" s="176">
        <v>13.518056602030001</v>
      </c>
      <c r="H55" s="26"/>
      <c r="I55" s="26"/>
      <c r="J55" s="26"/>
      <c r="K55" s="26"/>
      <c r="L55" s="26"/>
      <c r="M55" s="26"/>
      <c r="N55" s="26"/>
      <c r="O55" s="26"/>
      <c r="P55" s="26"/>
      <c r="Q55" s="26"/>
    </row>
    <row r="56" spans="1:17" outlineLevel="4" x14ac:dyDescent="0.3">
      <c r="A56" s="175" t="s">
        <v>105</v>
      </c>
      <c r="B56" s="176">
        <v>3.697351603E-2</v>
      </c>
      <c r="C56" s="176">
        <v>5.8199870360000003E-2</v>
      </c>
      <c r="D56" s="176">
        <v>7.7583875149999995E-2</v>
      </c>
      <c r="E56" s="176">
        <v>0.11417866259999999</v>
      </c>
      <c r="F56" s="176">
        <v>0.11419518165</v>
      </c>
      <c r="G56" s="176">
        <v>0.1113885929</v>
      </c>
      <c r="H56" s="26"/>
      <c r="I56" s="26"/>
      <c r="J56" s="26"/>
      <c r="K56" s="26"/>
      <c r="L56" s="26"/>
      <c r="M56" s="26"/>
      <c r="N56" s="26"/>
      <c r="O56" s="26"/>
      <c r="P56" s="26"/>
      <c r="Q56" s="26"/>
    </row>
    <row r="57" spans="1:17" outlineLevel="3" x14ac:dyDescent="0.3">
      <c r="A57" s="177" t="s">
        <v>106</v>
      </c>
      <c r="B57" s="176">
        <f t="shared" ref="B57:G57" si="7">SUM(B$58:B$67)</f>
        <v>0.94665391014</v>
      </c>
      <c r="C57" s="176">
        <f t="shared" si="7"/>
        <v>0.88801693534000004</v>
      </c>
      <c r="D57" s="176">
        <f t="shared" si="7"/>
        <v>4.3891608617899998</v>
      </c>
      <c r="E57" s="176">
        <f t="shared" si="7"/>
        <v>6.3176009658999996</v>
      </c>
      <c r="F57" s="176">
        <f t="shared" si="7"/>
        <v>7.6299116025599991</v>
      </c>
      <c r="G57" s="176">
        <f t="shared" si="7"/>
        <v>7.6909776344599985</v>
      </c>
      <c r="H57" s="26"/>
      <c r="I57" s="26"/>
      <c r="J57" s="26"/>
      <c r="K57" s="26"/>
      <c r="L57" s="26"/>
      <c r="M57" s="26"/>
      <c r="N57" s="26"/>
      <c r="O57" s="26"/>
      <c r="P57" s="26"/>
      <c r="Q57" s="26"/>
    </row>
    <row r="58" spans="1:17" outlineLevel="4" x14ac:dyDescent="0.3">
      <c r="A58" s="175" t="s">
        <v>107</v>
      </c>
      <c r="B58" s="176">
        <v>0</v>
      </c>
      <c r="C58" s="176">
        <v>2.0492385960000001E-2</v>
      </c>
      <c r="D58" s="176">
        <v>2.210838918E-2</v>
      </c>
      <c r="E58" s="176">
        <v>2.3454162970000001E-2</v>
      </c>
      <c r="F58" s="176">
        <v>2.3872949189999999E-2</v>
      </c>
      <c r="G58" s="176">
        <v>2.401513777E-2</v>
      </c>
      <c r="H58" s="26"/>
      <c r="I58" s="26"/>
      <c r="J58" s="26"/>
      <c r="K58" s="26"/>
      <c r="L58" s="26"/>
      <c r="M58" s="26"/>
      <c r="N58" s="26"/>
      <c r="O58" s="26"/>
      <c r="P58" s="26"/>
      <c r="Q58" s="26"/>
    </row>
    <row r="59" spans="1:17" outlineLevel="4" x14ac:dyDescent="0.3">
      <c r="A59" s="175" t="s">
        <v>108</v>
      </c>
      <c r="B59" s="176">
        <v>0</v>
      </c>
      <c r="C59" s="176">
        <v>0</v>
      </c>
      <c r="D59" s="176">
        <v>0.21302975776999999</v>
      </c>
      <c r="E59" s="176">
        <v>0.22224977884</v>
      </c>
      <c r="F59" s="176">
        <v>0.20898023264000001</v>
      </c>
      <c r="G59" s="176">
        <v>0.20953991424999999</v>
      </c>
      <c r="H59" s="26"/>
      <c r="I59" s="26"/>
      <c r="J59" s="26"/>
      <c r="K59" s="26"/>
      <c r="L59" s="26"/>
      <c r="M59" s="26"/>
      <c r="N59" s="26"/>
      <c r="O59" s="26"/>
      <c r="P59" s="26"/>
      <c r="Q59" s="26"/>
    </row>
    <row r="60" spans="1:17" outlineLevel="4" x14ac:dyDescent="0.3">
      <c r="A60" s="175" t="s">
        <v>109</v>
      </c>
      <c r="B60" s="176">
        <v>0</v>
      </c>
      <c r="C60" s="176">
        <v>0</v>
      </c>
      <c r="D60" s="176">
        <v>1.8276825705999999</v>
      </c>
      <c r="E60" s="176">
        <v>3.6820325010000001</v>
      </c>
      <c r="F60" s="176">
        <v>5.0846934205799998</v>
      </c>
      <c r="G60" s="176">
        <v>5.0945019915599996</v>
      </c>
      <c r="H60" s="26"/>
      <c r="I60" s="26"/>
      <c r="J60" s="26"/>
      <c r="K60" s="26"/>
      <c r="L60" s="26"/>
      <c r="M60" s="26"/>
      <c r="N60" s="26"/>
      <c r="O60" s="26"/>
      <c r="P60" s="26"/>
      <c r="Q60" s="26"/>
    </row>
    <row r="61" spans="1:17" outlineLevel="4" x14ac:dyDescent="0.3">
      <c r="A61" s="175" t="s">
        <v>110</v>
      </c>
      <c r="B61" s="176">
        <v>0</v>
      </c>
      <c r="C61" s="176">
        <v>0</v>
      </c>
      <c r="D61" s="176">
        <v>0.21302975776999999</v>
      </c>
      <c r="E61" s="176">
        <v>0.22224977884</v>
      </c>
      <c r="F61" s="176">
        <v>0.20898023264000001</v>
      </c>
      <c r="G61" s="176">
        <v>0.20953991424999999</v>
      </c>
      <c r="H61" s="26"/>
      <c r="I61" s="26"/>
      <c r="J61" s="26"/>
      <c r="K61" s="26"/>
      <c r="L61" s="26"/>
      <c r="M61" s="26"/>
      <c r="N61" s="26"/>
      <c r="O61" s="26"/>
      <c r="P61" s="26"/>
      <c r="Q61" s="26"/>
    </row>
    <row r="62" spans="1:17" outlineLevel="4" x14ac:dyDescent="0.3">
      <c r="A62" s="175" t="s">
        <v>111</v>
      </c>
      <c r="B62" s="176">
        <v>0.31797605808000001</v>
      </c>
      <c r="C62" s="176">
        <v>0.28670076286000001</v>
      </c>
      <c r="D62" s="176">
        <v>0.58684537884999999</v>
      </c>
      <c r="E62" s="176">
        <v>0.62447708832000004</v>
      </c>
      <c r="F62" s="176">
        <v>0.58744407237999996</v>
      </c>
      <c r="G62" s="176">
        <v>0.59096369179999997</v>
      </c>
      <c r="H62" s="26"/>
      <c r="I62" s="26"/>
      <c r="J62" s="26"/>
      <c r="K62" s="26"/>
      <c r="L62" s="26"/>
      <c r="M62" s="26"/>
      <c r="N62" s="26"/>
      <c r="O62" s="26"/>
      <c r="P62" s="26"/>
      <c r="Q62" s="26"/>
    </row>
    <row r="63" spans="1:17" outlineLevel="4" x14ac:dyDescent="0.3">
      <c r="A63" s="175" t="s">
        <v>112</v>
      </c>
      <c r="B63" s="176">
        <v>1.440203588E-2</v>
      </c>
      <c r="C63" s="176">
        <v>4.1845500289999997E-2</v>
      </c>
      <c r="D63" s="176">
        <v>5.3056445690000002E-2</v>
      </c>
      <c r="E63" s="176">
        <v>9.6949115109999998E-2</v>
      </c>
      <c r="F63" s="176">
        <v>0.10378189140999999</v>
      </c>
      <c r="G63" s="176">
        <v>0.10405983548</v>
      </c>
      <c r="H63" s="26"/>
      <c r="I63" s="26"/>
      <c r="J63" s="26"/>
      <c r="K63" s="26"/>
      <c r="L63" s="26"/>
      <c r="M63" s="26"/>
      <c r="N63" s="26"/>
      <c r="O63" s="26"/>
      <c r="P63" s="26"/>
      <c r="Q63" s="26"/>
    </row>
    <row r="64" spans="1:17" outlineLevel="4" x14ac:dyDescent="0.3">
      <c r="A64" s="175" t="s">
        <v>113</v>
      </c>
      <c r="B64" s="176">
        <v>0</v>
      </c>
      <c r="C64" s="176">
        <v>0</v>
      </c>
      <c r="D64" s="176">
        <v>0</v>
      </c>
      <c r="E64" s="176">
        <v>0</v>
      </c>
      <c r="F64" s="176">
        <v>0.1</v>
      </c>
      <c r="G64" s="176">
        <v>0.1</v>
      </c>
      <c r="H64" s="26"/>
      <c r="I64" s="26"/>
      <c r="J64" s="26"/>
      <c r="K64" s="26"/>
      <c r="L64" s="26"/>
      <c r="M64" s="26"/>
      <c r="N64" s="26"/>
      <c r="O64" s="26"/>
      <c r="P64" s="26"/>
      <c r="Q64" s="26"/>
    </row>
    <row r="65" spans="1:17" outlineLevel="4" x14ac:dyDescent="0.3">
      <c r="A65" s="175" t="s">
        <v>114</v>
      </c>
      <c r="B65" s="176">
        <v>1.8974616299999999E-3</v>
      </c>
      <c r="C65" s="176">
        <v>4.7255449999999998E-4</v>
      </c>
      <c r="D65" s="176">
        <v>4.7255449999999998E-4</v>
      </c>
      <c r="E65" s="176">
        <v>4.7255449999999998E-4</v>
      </c>
      <c r="F65" s="176">
        <v>5.1251526E-4</v>
      </c>
      <c r="G65" s="176">
        <v>5.1251526E-4</v>
      </c>
      <c r="H65" s="26"/>
      <c r="I65" s="26"/>
      <c r="J65" s="26"/>
      <c r="K65" s="26"/>
      <c r="L65" s="26"/>
      <c r="M65" s="26"/>
      <c r="N65" s="26"/>
      <c r="O65" s="26"/>
      <c r="P65" s="26"/>
      <c r="Q65" s="26"/>
    </row>
    <row r="66" spans="1:17" outlineLevel="4" x14ac:dyDescent="0.3">
      <c r="A66" s="175" t="s">
        <v>115</v>
      </c>
      <c r="B66" s="176">
        <v>2.7804970700000001E-2</v>
      </c>
      <c r="C66" s="176">
        <v>3.9693692959999999E-2</v>
      </c>
      <c r="D66" s="176">
        <v>0.47501825474999998</v>
      </c>
      <c r="E66" s="176">
        <v>0.4994446609</v>
      </c>
      <c r="F66" s="176">
        <v>0.46506189307000001</v>
      </c>
      <c r="G66" s="176">
        <v>0.46630740122999997</v>
      </c>
      <c r="H66" s="26"/>
      <c r="I66" s="26"/>
      <c r="J66" s="26"/>
      <c r="K66" s="26"/>
      <c r="L66" s="26"/>
      <c r="M66" s="26"/>
      <c r="N66" s="26"/>
      <c r="O66" s="26"/>
      <c r="P66" s="26"/>
      <c r="Q66" s="26"/>
    </row>
    <row r="67" spans="1:17" outlineLevel="4" x14ac:dyDescent="0.3">
      <c r="A67" s="175" t="s">
        <v>116</v>
      </c>
      <c r="B67" s="176">
        <v>0.58457338385000002</v>
      </c>
      <c r="C67" s="176">
        <v>0.49881203877000002</v>
      </c>
      <c r="D67" s="176">
        <v>0.99791775268000005</v>
      </c>
      <c r="E67" s="176">
        <v>0.94627132542000003</v>
      </c>
      <c r="F67" s="176">
        <v>0.84658439538999997</v>
      </c>
      <c r="G67" s="176">
        <v>0.89153723285999997</v>
      </c>
      <c r="H67" s="26"/>
      <c r="I67" s="26"/>
      <c r="J67" s="26"/>
      <c r="K67" s="26"/>
      <c r="L67" s="26"/>
      <c r="M67" s="26"/>
      <c r="N67" s="26"/>
      <c r="O67" s="26"/>
      <c r="P67" s="26"/>
      <c r="Q67" s="26"/>
    </row>
    <row r="68" spans="1:17" outlineLevel="3" x14ac:dyDescent="0.3">
      <c r="A68" s="177" t="s">
        <v>117</v>
      </c>
      <c r="B68" s="176">
        <f t="shared" ref="B68:G68" si="8">SUM(B$69:B$69)</f>
        <v>0.60585586000000002</v>
      </c>
      <c r="C68" s="176">
        <f t="shared" si="8"/>
        <v>0.60585586000000002</v>
      </c>
      <c r="D68" s="176">
        <f t="shared" si="8"/>
        <v>0.60585586000000002</v>
      </c>
      <c r="E68" s="176">
        <f t="shared" si="8"/>
        <v>0.60585586000000002</v>
      </c>
      <c r="F68" s="176">
        <f t="shared" si="8"/>
        <v>0.60585586000000002</v>
      </c>
      <c r="G68" s="176">
        <f t="shared" si="8"/>
        <v>0.60585586000000002</v>
      </c>
      <c r="H68" s="26"/>
      <c r="I68" s="26"/>
      <c r="J68" s="26"/>
      <c r="K68" s="26"/>
      <c r="L68" s="26"/>
      <c r="M68" s="26"/>
      <c r="N68" s="26"/>
      <c r="O68" s="26"/>
      <c r="P68" s="26"/>
      <c r="Q68" s="26"/>
    </row>
    <row r="69" spans="1:17" outlineLevel="4" x14ac:dyDescent="0.3">
      <c r="A69" s="175" t="s">
        <v>118</v>
      </c>
      <c r="B69" s="176">
        <v>0.60585586000000002</v>
      </c>
      <c r="C69" s="176">
        <v>0.60585586000000002</v>
      </c>
      <c r="D69" s="176">
        <v>0.60585586000000002</v>
      </c>
      <c r="E69" s="176">
        <v>0.60585586000000002</v>
      </c>
      <c r="F69" s="176">
        <v>0.60585586000000002</v>
      </c>
      <c r="G69" s="176">
        <v>0.60585586000000002</v>
      </c>
      <c r="H69" s="26"/>
      <c r="I69" s="26"/>
      <c r="J69" s="26"/>
      <c r="K69" s="26"/>
      <c r="L69" s="26"/>
      <c r="M69" s="26"/>
      <c r="N69" s="26"/>
      <c r="O69" s="26"/>
      <c r="P69" s="26"/>
      <c r="Q69" s="26"/>
    </row>
    <row r="70" spans="1:17" outlineLevel="3" x14ac:dyDescent="0.3">
      <c r="A70" s="177" t="s">
        <v>119</v>
      </c>
      <c r="B70" s="176">
        <f t="shared" ref="B70:G70" si="9">SUM(B$71:B$76)</f>
        <v>2.16046496469</v>
      </c>
      <c r="C70" s="176">
        <f t="shared" si="9"/>
        <v>1.8600623522399999</v>
      </c>
      <c r="D70" s="176">
        <f t="shared" si="9"/>
        <v>1.6511306157100001</v>
      </c>
      <c r="E70" s="176">
        <f t="shared" si="9"/>
        <v>1.56620920958</v>
      </c>
      <c r="F70" s="176">
        <f t="shared" si="9"/>
        <v>1.4786194744199999</v>
      </c>
      <c r="G70" s="176">
        <f t="shared" si="9"/>
        <v>1.45118764899</v>
      </c>
      <c r="H70" s="26"/>
      <c r="I70" s="26"/>
      <c r="J70" s="26"/>
      <c r="K70" s="26"/>
      <c r="L70" s="26"/>
      <c r="M70" s="26"/>
      <c r="N70" s="26"/>
      <c r="O70" s="26"/>
      <c r="P70" s="26"/>
      <c r="Q70" s="26"/>
    </row>
    <row r="71" spans="1:17" outlineLevel="4" x14ac:dyDescent="0.3">
      <c r="A71" s="175" t="s">
        <v>120</v>
      </c>
      <c r="B71" s="176">
        <v>0.61432522476999996</v>
      </c>
      <c r="C71" s="176">
        <v>0.73684077395000003</v>
      </c>
      <c r="D71" s="176">
        <v>0.69234671275000004</v>
      </c>
      <c r="E71" s="176">
        <v>0.72231178122999995</v>
      </c>
      <c r="F71" s="176">
        <v>0.67918575608999998</v>
      </c>
      <c r="G71" s="176">
        <v>0.68100472127</v>
      </c>
      <c r="H71" s="26"/>
      <c r="I71" s="26"/>
      <c r="J71" s="26"/>
      <c r="K71" s="26"/>
      <c r="L71" s="26"/>
      <c r="M71" s="26"/>
      <c r="N71" s="26"/>
      <c r="O71" s="26"/>
      <c r="P71" s="26"/>
      <c r="Q71" s="26"/>
    </row>
    <row r="72" spans="1:17" outlineLevel="4" x14ac:dyDescent="0.3">
      <c r="A72" s="175" t="s">
        <v>121</v>
      </c>
      <c r="B72" s="176">
        <v>6.2819910000000005E-5</v>
      </c>
      <c r="C72" s="176">
        <v>5.7960120000000002E-5</v>
      </c>
      <c r="D72" s="176">
        <v>5.4460209999999998E-5</v>
      </c>
      <c r="E72" s="176">
        <v>5.681727E-5</v>
      </c>
      <c r="F72" s="176">
        <v>5.3424960000000002E-5</v>
      </c>
      <c r="G72" s="176">
        <v>5.3568040000000002E-5</v>
      </c>
      <c r="H72" s="26"/>
      <c r="I72" s="26"/>
      <c r="J72" s="26"/>
      <c r="K72" s="26"/>
      <c r="L72" s="26"/>
      <c r="M72" s="26"/>
      <c r="N72" s="26"/>
      <c r="O72" s="26"/>
      <c r="P72" s="26"/>
      <c r="Q72" s="26"/>
    </row>
    <row r="73" spans="1:17" outlineLevel="4" x14ac:dyDescent="0.3">
      <c r="A73" s="175" t="s">
        <v>122</v>
      </c>
      <c r="B73" s="176">
        <v>0</v>
      </c>
      <c r="C73" s="176">
        <v>0</v>
      </c>
      <c r="D73" s="176">
        <v>0</v>
      </c>
      <c r="E73" s="176">
        <v>4.3185847999999997E-3</v>
      </c>
      <c r="F73" s="176">
        <v>6.7086455600000004E-3</v>
      </c>
      <c r="G73" s="176">
        <v>6.7266123600000002E-3</v>
      </c>
      <c r="H73" s="26"/>
      <c r="I73" s="26"/>
      <c r="J73" s="26"/>
      <c r="K73" s="26"/>
      <c r="L73" s="26"/>
      <c r="M73" s="26"/>
      <c r="N73" s="26"/>
      <c r="O73" s="26"/>
      <c r="P73" s="26"/>
      <c r="Q73" s="26"/>
    </row>
    <row r="74" spans="1:17" outlineLevel="4" x14ac:dyDescent="0.3">
      <c r="A74" s="175" t="s">
        <v>123</v>
      </c>
      <c r="B74" s="176">
        <v>0.23292541166</v>
      </c>
      <c r="C74" s="176">
        <v>0.29744124965000002</v>
      </c>
      <c r="D74" s="176">
        <v>0.30348476916</v>
      </c>
      <c r="E74" s="176">
        <v>0.2708811217</v>
      </c>
      <c r="F74" s="176">
        <v>0.19288559186000001</v>
      </c>
      <c r="G74" s="176">
        <v>0.18669896827999999</v>
      </c>
      <c r="H74" s="26"/>
      <c r="I74" s="26"/>
      <c r="J74" s="26"/>
      <c r="K74" s="26"/>
      <c r="L74" s="26"/>
      <c r="M74" s="26"/>
      <c r="N74" s="26"/>
      <c r="O74" s="26"/>
      <c r="P74" s="26"/>
      <c r="Q74" s="26"/>
    </row>
    <row r="75" spans="1:17" outlineLevel="4" x14ac:dyDescent="0.3">
      <c r="A75" s="175" t="s">
        <v>124</v>
      </c>
      <c r="B75" s="176">
        <v>1.3131515083500001</v>
      </c>
      <c r="C75" s="176">
        <v>0.82572236852000003</v>
      </c>
      <c r="D75" s="176">
        <v>0.65524467359000005</v>
      </c>
      <c r="E75" s="176">
        <v>0.56864090458000005</v>
      </c>
      <c r="F75" s="176">
        <v>0.43278562789000002</v>
      </c>
      <c r="G75" s="176">
        <v>0.40870868744</v>
      </c>
      <c r="H75" s="26"/>
      <c r="I75" s="26"/>
      <c r="J75" s="26"/>
      <c r="K75" s="26"/>
      <c r="L75" s="26"/>
      <c r="M75" s="26"/>
      <c r="N75" s="26"/>
      <c r="O75" s="26"/>
      <c r="P75" s="26"/>
      <c r="Q75" s="26"/>
    </row>
    <row r="76" spans="1:17" outlineLevel="4" x14ac:dyDescent="0.3">
      <c r="A76" s="175" t="s">
        <v>125</v>
      </c>
      <c r="B76" s="176">
        <v>0</v>
      </c>
      <c r="C76" s="176">
        <v>0</v>
      </c>
      <c r="D76" s="176">
        <v>0</v>
      </c>
      <c r="E76" s="176">
        <v>0</v>
      </c>
      <c r="F76" s="176">
        <v>0.16700042806000001</v>
      </c>
      <c r="G76" s="176">
        <v>0.16799509160000001</v>
      </c>
      <c r="H76" s="26"/>
      <c r="I76" s="26"/>
      <c r="J76" s="26"/>
      <c r="K76" s="26"/>
      <c r="L76" s="26"/>
      <c r="M76" s="26"/>
      <c r="N76" s="26"/>
      <c r="O76" s="26"/>
      <c r="P76" s="26"/>
      <c r="Q76" s="26"/>
    </row>
    <row r="77" spans="1:17" outlineLevel="3" x14ac:dyDescent="0.3">
      <c r="A77" s="177" t="s">
        <v>126</v>
      </c>
      <c r="B77" s="176">
        <f t="shared" ref="B77:G77" si="10">SUM(B$78:B$85)</f>
        <v>20.35023951142</v>
      </c>
      <c r="C77" s="176">
        <f t="shared" si="10"/>
        <v>19.912232679059997</v>
      </c>
      <c r="D77" s="176">
        <f t="shared" si="10"/>
        <v>19.657214774909999</v>
      </c>
      <c r="E77" s="176">
        <f t="shared" si="10"/>
        <v>19.760940011999999</v>
      </c>
      <c r="F77" s="176">
        <f t="shared" si="10"/>
        <v>15.219165084</v>
      </c>
      <c r="G77" s="176">
        <f t="shared" si="10"/>
        <v>15.219165084</v>
      </c>
      <c r="H77" s="26"/>
      <c r="I77" s="26"/>
      <c r="J77" s="26"/>
      <c r="K77" s="26"/>
      <c r="L77" s="26"/>
      <c r="M77" s="26"/>
      <c r="N77" s="26"/>
      <c r="O77" s="26"/>
      <c r="P77" s="26"/>
      <c r="Q77" s="26"/>
    </row>
    <row r="78" spans="1:17" outlineLevel="4" x14ac:dyDescent="0.3">
      <c r="A78" s="175" t="s">
        <v>127</v>
      </c>
      <c r="B78" s="176">
        <v>8.6357759999999999</v>
      </c>
      <c r="C78" s="176">
        <v>7.6616299999999997</v>
      </c>
      <c r="D78" s="176">
        <v>7.5606299999999997</v>
      </c>
      <c r="E78" s="176">
        <v>7.5606299999999997</v>
      </c>
      <c r="F78" s="176">
        <v>0</v>
      </c>
      <c r="G78" s="176">
        <v>0</v>
      </c>
      <c r="H78" s="26"/>
      <c r="I78" s="26"/>
      <c r="J78" s="26"/>
      <c r="K78" s="26"/>
      <c r="L78" s="26"/>
      <c r="M78" s="26"/>
      <c r="N78" s="26"/>
      <c r="O78" s="26"/>
      <c r="P78" s="26"/>
      <c r="Q78" s="26"/>
    </row>
    <row r="79" spans="1:17" outlineLevel="4" x14ac:dyDescent="0.3">
      <c r="A79" s="175" t="s">
        <v>128</v>
      </c>
      <c r="B79" s="176">
        <v>1</v>
      </c>
      <c r="C79" s="176">
        <v>0</v>
      </c>
      <c r="D79" s="176">
        <v>0</v>
      </c>
      <c r="E79" s="176">
        <v>0</v>
      </c>
      <c r="F79" s="176">
        <v>0</v>
      </c>
      <c r="G79" s="176">
        <v>0</v>
      </c>
      <c r="H79" s="26"/>
      <c r="I79" s="26"/>
      <c r="J79" s="26"/>
      <c r="K79" s="26"/>
      <c r="L79" s="26"/>
      <c r="M79" s="26"/>
      <c r="N79" s="26"/>
      <c r="O79" s="26"/>
      <c r="P79" s="26"/>
      <c r="Q79" s="26"/>
    </row>
    <row r="80" spans="1:17" outlineLevel="4" x14ac:dyDescent="0.3">
      <c r="A80" s="175" t="s">
        <v>129</v>
      </c>
      <c r="B80" s="176">
        <v>3</v>
      </c>
      <c r="C80" s="176">
        <v>3</v>
      </c>
      <c r="D80" s="176">
        <v>3</v>
      </c>
      <c r="E80" s="176">
        <v>3</v>
      </c>
      <c r="F80" s="176">
        <v>0</v>
      </c>
      <c r="G80" s="176">
        <v>0</v>
      </c>
      <c r="H80" s="26"/>
      <c r="I80" s="26"/>
      <c r="J80" s="26"/>
      <c r="K80" s="26"/>
      <c r="L80" s="26"/>
      <c r="M80" s="26"/>
      <c r="N80" s="26"/>
      <c r="O80" s="26"/>
      <c r="P80" s="26"/>
      <c r="Q80" s="26"/>
    </row>
    <row r="81" spans="1:17" outlineLevel="4" x14ac:dyDescent="0.3">
      <c r="A81" s="175" t="s">
        <v>130</v>
      </c>
      <c r="B81" s="176">
        <v>2.35</v>
      </c>
      <c r="C81" s="176">
        <v>2.35</v>
      </c>
      <c r="D81" s="176">
        <v>2.35</v>
      </c>
      <c r="E81" s="176">
        <v>2.35</v>
      </c>
      <c r="F81" s="176">
        <v>0</v>
      </c>
      <c r="G81" s="176">
        <v>0</v>
      </c>
      <c r="H81" s="26"/>
      <c r="I81" s="26"/>
      <c r="J81" s="26"/>
      <c r="K81" s="26"/>
      <c r="L81" s="26"/>
      <c r="M81" s="26"/>
      <c r="N81" s="26"/>
      <c r="O81" s="26"/>
      <c r="P81" s="26"/>
      <c r="Q81" s="26"/>
    </row>
    <row r="82" spans="1:17" outlineLevel="4" x14ac:dyDescent="0.3">
      <c r="A82" s="175" t="s">
        <v>131</v>
      </c>
      <c r="B82" s="176">
        <v>1.2286504495199999</v>
      </c>
      <c r="C82" s="176">
        <v>1.1336011906900001</v>
      </c>
      <c r="D82" s="176">
        <v>1.06514878885</v>
      </c>
      <c r="E82" s="176">
        <v>1.1112488942200001</v>
      </c>
      <c r="F82" s="176">
        <v>0</v>
      </c>
      <c r="G82" s="176">
        <v>0</v>
      </c>
      <c r="H82" s="26"/>
      <c r="I82" s="26"/>
      <c r="J82" s="26"/>
      <c r="K82" s="26"/>
      <c r="L82" s="26"/>
      <c r="M82" s="26"/>
      <c r="N82" s="26"/>
      <c r="O82" s="26"/>
      <c r="P82" s="26"/>
      <c r="Q82" s="26"/>
    </row>
    <row r="83" spans="1:17" outlineLevel="4" x14ac:dyDescent="0.3">
      <c r="A83" s="175" t="s">
        <v>132</v>
      </c>
      <c r="B83" s="176">
        <v>4.1358130619000004</v>
      </c>
      <c r="C83" s="176">
        <v>4.01700148837</v>
      </c>
      <c r="D83" s="176">
        <v>3.9314359860599999</v>
      </c>
      <c r="E83" s="176">
        <v>3.9890611177799999</v>
      </c>
      <c r="F83" s="176">
        <v>0</v>
      </c>
      <c r="G83" s="176">
        <v>0</v>
      </c>
      <c r="H83" s="26"/>
      <c r="I83" s="26"/>
      <c r="J83" s="26"/>
      <c r="K83" s="26"/>
      <c r="L83" s="26"/>
      <c r="M83" s="26"/>
      <c r="N83" s="26"/>
      <c r="O83" s="26"/>
      <c r="P83" s="26"/>
      <c r="Q83" s="26"/>
    </row>
    <row r="84" spans="1:17" outlineLevel="4" x14ac:dyDescent="0.3">
      <c r="A84" s="175" t="s">
        <v>133</v>
      </c>
      <c r="B84" s="176">
        <v>0</v>
      </c>
      <c r="C84" s="176">
        <v>1.75</v>
      </c>
      <c r="D84" s="176">
        <v>1.75</v>
      </c>
      <c r="E84" s="176">
        <v>1.75</v>
      </c>
      <c r="F84" s="176">
        <v>0</v>
      </c>
      <c r="G84" s="176">
        <v>0</v>
      </c>
      <c r="H84" s="26"/>
      <c r="I84" s="26"/>
      <c r="J84" s="26"/>
      <c r="K84" s="26"/>
      <c r="L84" s="26"/>
      <c r="M84" s="26"/>
      <c r="N84" s="26"/>
      <c r="O84" s="26"/>
      <c r="P84" s="26"/>
      <c r="Q84" s="26"/>
    </row>
    <row r="85" spans="1:17" outlineLevel="4" x14ac:dyDescent="0.3">
      <c r="A85" s="175" t="s">
        <v>134</v>
      </c>
      <c r="B85" s="176">
        <v>0</v>
      </c>
      <c r="C85" s="176">
        <v>0</v>
      </c>
      <c r="D85" s="176">
        <v>0</v>
      </c>
      <c r="E85" s="176">
        <v>0</v>
      </c>
      <c r="F85" s="176">
        <v>15.219165084</v>
      </c>
      <c r="G85" s="176">
        <v>15.219165084</v>
      </c>
      <c r="H85" s="26"/>
      <c r="I85" s="26"/>
      <c r="J85" s="26"/>
      <c r="K85" s="26"/>
      <c r="L85" s="26"/>
      <c r="M85" s="26"/>
      <c r="N85" s="26"/>
      <c r="O85" s="26"/>
      <c r="P85" s="26"/>
      <c r="Q85" s="26"/>
    </row>
    <row r="86" spans="1:17" outlineLevel="3" x14ac:dyDescent="0.3">
      <c r="A86" s="177" t="s">
        <v>135</v>
      </c>
      <c r="B86" s="176">
        <f t="shared" ref="B86:G86" si="11">SUM(B$87:B$87)</f>
        <v>3</v>
      </c>
      <c r="C86" s="176">
        <f t="shared" si="11"/>
        <v>3</v>
      </c>
      <c r="D86" s="176">
        <f t="shared" si="11"/>
        <v>3</v>
      </c>
      <c r="E86" s="176">
        <f t="shared" si="11"/>
        <v>3</v>
      </c>
      <c r="F86" s="176">
        <f t="shared" si="11"/>
        <v>3</v>
      </c>
      <c r="G86" s="176">
        <f t="shared" si="11"/>
        <v>3</v>
      </c>
      <c r="H86" s="26"/>
      <c r="I86" s="26"/>
      <c r="J86" s="26"/>
      <c r="K86" s="26"/>
      <c r="L86" s="26"/>
      <c r="M86" s="26"/>
      <c r="N86" s="26"/>
      <c r="O86" s="26"/>
      <c r="P86" s="26"/>
      <c r="Q86" s="26"/>
    </row>
    <row r="87" spans="1:17" outlineLevel="4" x14ac:dyDescent="0.3">
      <c r="A87" s="175" t="s">
        <v>136</v>
      </c>
      <c r="B87" s="176">
        <v>3</v>
      </c>
      <c r="C87" s="176">
        <v>3</v>
      </c>
      <c r="D87" s="176">
        <v>3</v>
      </c>
      <c r="E87" s="176">
        <v>3</v>
      </c>
      <c r="F87" s="176">
        <v>3</v>
      </c>
      <c r="G87" s="176">
        <v>3</v>
      </c>
      <c r="H87" s="26"/>
      <c r="I87" s="26"/>
      <c r="J87" s="26"/>
      <c r="K87" s="26"/>
      <c r="L87" s="26"/>
      <c r="M87" s="26"/>
      <c r="N87" s="26"/>
      <c r="O87" s="26"/>
      <c r="P87" s="26"/>
      <c r="Q87" s="26"/>
    </row>
    <row r="88" spans="1:17" outlineLevel="3" x14ac:dyDescent="0.3">
      <c r="A88" s="177" t="s">
        <v>137</v>
      </c>
      <c r="B88" s="176">
        <f t="shared" ref="B88:G88" si="12">SUM(B$89:B$89)</f>
        <v>1.7686496862900001</v>
      </c>
      <c r="C88" s="176">
        <f t="shared" si="12"/>
        <v>4.4174258540500002</v>
      </c>
      <c r="D88" s="176">
        <f t="shared" si="12"/>
        <v>4.2004354421199999</v>
      </c>
      <c r="E88" s="176">
        <f t="shared" si="12"/>
        <v>4.2346040658300002</v>
      </c>
      <c r="F88" s="176">
        <f t="shared" si="12"/>
        <v>4.1161355888799998</v>
      </c>
      <c r="G88" s="176">
        <f t="shared" si="12"/>
        <v>4.1315022362200002</v>
      </c>
      <c r="H88" s="26"/>
      <c r="I88" s="26"/>
      <c r="J88" s="26"/>
      <c r="K88" s="26"/>
      <c r="L88" s="26"/>
      <c r="M88" s="26"/>
      <c r="N88" s="26"/>
      <c r="O88" s="26"/>
      <c r="P88" s="26"/>
      <c r="Q88" s="26"/>
    </row>
    <row r="89" spans="1:17" outlineLevel="4" x14ac:dyDescent="0.3">
      <c r="A89" s="175" t="s">
        <v>104</v>
      </c>
      <c r="B89" s="176">
        <v>1.7686496862900001</v>
      </c>
      <c r="C89" s="176">
        <v>4.4174258540500002</v>
      </c>
      <c r="D89" s="176">
        <v>4.2004354421199999</v>
      </c>
      <c r="E89" s="176">
        <v>4.2346040658300002</v>
      </c>
      <c r="F89" s="176">
        <v>4.1161355888799998</v>
      </c>
      <c r="G89" s="176">
        <v>4.1315022362200002</v>
      </c>
      <c r="H89" s="26"/>
      <c r="I89" s="26"/>
      <c r="J89" s="26"/>
      <c r="K89" s="26"/>
      <c r="L89" s="26"/>
      <c r="M89" s="26"/>
      <c r="N89" s="26"/>
      <c r="O89" s="26"/>
      <c r="P89" s="26"/>
      <c r="Q89" s="26"/>
    </row>
    <row r="90" spans="1:17" ht="14.5" outlineLevel="1" x14ac:dyDescent="0.35">
      <c r="A90" s="188" t="s">
        <v>2</v>
      </c>
      <c r="B90" s="189">
        <f t="shared" ref="B90:G90" si="13">B$91+B$112</f>
        <v>10.350286957600002</v>
      </c>
      <c r="C90" s="189">
        <f t="shared" si="13"/>
        <v>11.340186286440002</v>
      </c>
      <c r="D90" s="189">
        <f t="shared" si="13"/>
        <v>9.8563851605699995</v>
      </c>
      <c r="E90" s="189">
        <f t="shared" si="13"/>
        <v>8.7289038365499998</v>
      </c>
      <c r="F90" s="189">
        <f t="shared" si="13"/>
        <v>6.8629393971300008</v>
      </c>
      <c r="G90" s="189">
        <f t="shared" si="13"/>
        <v>6.7295851597800009</v>
      </c>
      <c r="H90" s="26"/>
      <c r="I90" s="26"/>
      <c r="J90" s="26"/>
      <c r="K90" s="26"/>
      <c r="L90" s="26"/>
      <c r="M90" s="26"/>
      <c r="N90" s="26"/>
      <c r="O90" s="26"/>
      <c r="P90" s="26"/>
      <c r="Q90" s="26"/>
    </row>
    <row r="91" spans="1:17" ht="14.5" outlineLevel="2" x14ac:dyDescent="0.35">
      <c r="A91" s="186" t="s">
        <v>57</v>
      </c>
      <c r="B91" s="187">
        <f t="shared" ref="B91:G91" si="14">B$92+B$100+B$110</f>
        <v>1.14015267014</v>
      </c>
      <c r="C91" s="187">
        <f t="shared" si="14"/>
        <v>1.7977295609400001</v>
      </c>
      <c r="D91" s="187">
        <f t="shared" si="14"/>
        <v>1.9743148852600001</v>
      </c>
      <c r="E91" s="187">
        <f t="shared" si="14"/>
        <v>1.8113315413799997</v>
      </c>
      <c r="F91" s="187">
        <f t="shared" si="14"/>
        <v>1.6498361975499998</v>
      </c>
      <c r="G91" s="187">
        <f t="shared" si="14"/>
        <v>1.76290484535</v>
      </c>
      <c r="H91" s="26"/>
      <c r="I91" s="26"/>
      <c r="J91" s="26"/>
      <c r="K91" s="26"/>
      <c r="L91" s="26"/>
      <c r="M91" s="26"/>
      <c r="N91" s="26"/>
      <c r="O91" s="26"/>
      <c r="P91" s="26"/>
      <c r="Q91" s="26"/>
    </row>
    <row r="92" spans="1:17" outlineLevel="3" x14ac:dyDescent="0.3">
      <c r="A92" s="177" t="s">
        <v>58</v>
      </c>
      <c r="B92" s="176">
        <f t="shared" ref="B92:G92" si="15">SUM(B$93:B$99)</f>
        <v>0.86249908397999997</v>
      </c>
      <c r="C92" s="176">
        <f t="shared" si="15"/>
        <v>0.62058407813000005</v>
      </c>
      <c r="D92" s="176">
        <f t="shared" si="15"/>
        <v>0.32397785532000001</v>
      </c>
      <c r="E92" s="176">
        <f t="shared" si="15"/>
        <v>0.2099659737</v>
      </c>
      <c r="F92" s="176">
        <f t="shared" si="15"/>
        <v>0.10644904969000001</v>
      </c>
      <c r="G92" s="176">
        <f t="shared" si="15"/>
        <v>0.10779524016</v>
      </c>
      <c r="H92" s="26"/>
      <c r="I92" s="26"/>
      <c r="J92" s="26"/>
      <c r="K92" s="26"/>
      <c r="L92" s="26"/>
      <c r="M92" s="26"/>
      <c r="N92" s="26"/>
      <c r="O92" s="26"/>
      <c r="P92" s="26"/>
      <c r="Q92" s="26"/>
    </row>
    <row r="93" spans="1:17" outlineLevel="4" x14ac:dyDescent="0.3">
      <c r="A93" s="175" t="s">
        <v>138</v>
      </c>
      <c r="B93" s="176">
        <v>4.1026000000000002E-7</v>
      </c>
      <c r="C93" s="176">
        <v>4.2525000000000003E-7</v>
      </c>
      <c r="D93" s="176">
        <v>3.1721000000000002E-7</v>
      </c>
      <c r="E93" s="176">
        <v>3.0540000000000002E-7</v>
      </c>
      <c r="F93" s="176">
        <v>2.7593000000000001E-7</v>
      </c>
      <c r="G93" s="176">
        <v>2.7942E-7</v>
      </c>
      <c r="H93" s="26"/>
      <c r="I93" s="26"/>
      <c r="J93" s="26"/>
      <c r="K93" s="26"/>
      <c r="L93" s="26"/>
      <c r="M93" s="26"/>
      <c r="N93" s="26"/>
      <c r="O93" s="26"/>
      <c r="P93" s="26"/>
      <c r="Q93" s="26"/>
    </row>
    <row r="94" spans="1:17" outlineLevel="4" x14ac:dyDescent="0.3">
      <c r="A94" s="175" t="s">
        <v>139</v>
      </c>
      <c r="B94" s="176">
        <v>0.12290182708</v>
      </c>
      <c r="C94" s="176">
        <v>0.12739110351999999</v>
      </c>
      <c r="D94" s="176">
        <v>9.5026880990000007E-2</v>
      </c>
      <c r="E94" s="176">
        <v>6.5161759129999997E-2</v>
      </c>
      <c r="F94" s="176">
        <v>5.8873902810000003E-2</v>
      </c>
      <c r="G94" s="176">
        <v>5.9618441979999999E-2</v>
      </c>
      <c r="H94" s="26"/>
      <c r="I94" s="26"/>
      <c r="J94" s="26"/>
      <c r="K94" s="26"/>
      <c r="L94" s="26"/>
      <c r="M94" s="26"/>
      <c r="N94" s="26"/>
      <c r="O94" s="26"/>
      <c r="P94" s="26"/>
      <c r="Q94" s="26"/>
    </row>
    <row r="95" spans="1:17" outlineLevel="4" x14ac:dyDescent="0.3">
      <c r="A95" s="175" t="s">
        <v>140</v>
      </c>
      <c r="B95" s="176">
        <v>5.9289963430000002E-2</v>
      </c>
      <c r="C95" s="176">
        <v>0</v>
      </c>
      <c r="D95" s="176">
        <v>0</v>
      </c>
      <c r="E95" s="176">
        <v>0</v>
      </c>
      <c r="F95" s="176">
        <v>0</v>
      </c>
      <c r="G95" s="176">
        <v>0</v>
      </c>
      <c r="H95" s="26"/>
      <c r="I95" s="26"/>
      <c r="J95" s="26"/>
      <c r="K95" s="26"/>
      <c r="L95" s="26"/>
      <c r="M95" s="26"/>
      <c r="N95" s="26"/>
      <c r="O95" s="26"/>
      <c r="P95" s="26"/>
      <c r="Q95" s="26"/>
    </row>
    <row r="96" spans="1:17" outlineLevel="4" x14ac:dyDescent="0.3">
      <c r="A96" s="175" t="s">
        <v>141</v>
      </c>
      <c r="B96" s="176">
        <v>0.38419641656999998</v>
      </c>
      <c r="C96" s="176">
        <v>0.18626595596000001</v>
      </c>
      <c r="D96" s="176">
        <v>0</v>
      </c>
      <c r="E96" s="176">
        <v>0</v>
      </c>
      <c r="F96" s="176">
        <v>0</v>
      </c>
      <c r="G96" s="176">
        <v>0</v>
      </c>
      <c r="H96" s="26"/>
      <c r="I96" s="26"/>
      <c r="J96" s="26"/>
      <c r="K96" s="26"/>
      <c r="L96" s="26"/>
      <c r="M96" s="26"/>
      <c r="N96" s="26"/>
      <c r="O96" s="26"/>
      <c r="P96" s="26"/>
      <c r="Q96" s="26"/>
    </row>
    <row r="97" spans="1:17" outlineLevel="4" x14ac:dyDescent="0.3">
      <c r="A97" s="175" t="s">
        <v>142</v>
      </c>
      <c r="B97" s="176">
        <v>0.10158958924</v>
      </c>
      <c r="C97" s="176">
        <v>0.10530038639</v>
      </c>
      <c r="D97" s="176">
        <v>7.854839945E-2</v>
      </c>
      <c r="E97" s="176">
        <v>0</v>
      </c>
      <c r="F97" s="176">
        <v>0</v>
      </c>
      <c r="G97" s="176">
        <v>0</v>
      </c>
      <c r="H97" s="26"/>
      <c r="I97" s="26"/>
      <c r="J97" s="26"/>
      <c r="K97" s="26"/>
      <c r="L97" s="26"/>
      <c r="M97" s="26"/>
      <c r="N97" s="26"/>
      <c r="O97" s="26"/>
      <c r="P97" s="26"/>
      <c r="Q97" s="26"/>
    </row>
    <row r="98" spans="1:17" outlineLevel="4" x14ac:dyDescent="0.3">
      <c r="A98" s="175" t="s">
        <v>143</v>
      </c>
      <c r="B98" s="176">
        <v>0.12378601289000001</v>
      </c>
      <c r="C98" s="176">
        <v>0.12830758628</v>
      </c>
      <c r="D98" s="176">
        <v>9.5710527609999999E-2</v>
      </c>
      <c r="E98" s="176">
        <v>9.2147942199999999E-2</v>
      </c>
      <c r="F98" s="176">
        <v>0</v>
      </c>
      <c r="G98" s="176">
        <v>0</v>
      </c>
      <c r="H98" s="26"/>
      <c r="I98" s="26"/>
      <c r="J98" s="26"/>
      <c r="K98" s="26"/>
      <c r="L98" s="26"/>
      <c r="M98" s="26"/>
      <c r="N98" s="26"/>
      <c r="O98" s="26"/>
      <c r="P98" s="26"/>
      <c r="Q98" s="26"/>
    </row>
    <row r="99" spans="1:17" outlineLevel="4" x14ac:dyDescent="0.3">
      <c r="A99" s="175" t="s">
        <v>144</v>
      </c>
      <c r="B99" s="176">
        <v>7.0734864509999995E-2</v>
      </c>
      <c r="C99" s="176">
        <v>7.3318620730000006E-2</v>
      </c>
      <c r="D99" s="176">
        <v>5.4691730059999999E-2</v>
      </c>
      <c r="E99" s="176">
        <v>5.2655966970000002E-2</v>
      </c>
      <c r="F99" s="176">
        <v>4.7574870950000001E-2</v>
      </c>
      <c r="G99" s="176">
        <v>4.8176518760000002E-2</v>
      </c>
      <c r="H99" s="26"/>
      <c r="I99" s="26"/>
      <c r="J99" s="26"/>
      <c r="K99" s="26"/>
      <c r="L99" s="26"/>
      <c r="M99" s="26"/>
      <c r="N99" s="26"/>
      <c r="O99" s="26"/>
      <c r="P99" s="26"/>
      <c r="Q99" s="26"/>
    </row>
    <row r="100" spans="1:17" outlineLevel="3" x14ac:dyDescent="0.3">
      <c r="A100" s="177" t="s">
        <v>93</v>
      </c>
      <c r="B100" s="176">
        <f t="shared" ref="B100:G100" si="16">SUM(B$101:B$109)</f>
        <v>0.27761982264000001</v>
      </c>
      <c r="C100" s="176">
        <f t="shared" si="16"/>
        <v>1.1771104860000001</v>
      </c>
      <c r="D100" s="176">
        <f t="shared" si="16"/>
        <v>1.65031092421</v>
      </c>
      <c r="E100" s="176">
        <f t="shared" si="16"/>
        <v>1.6013404336699999</v>
      </c>
      <c r="F100" s="176">
        <f t="shared" si="16"/>
        <v>1.5433644391799999</v>
      </c>
      <c r="G100" s="176">
        <f t="shared" si="16"/>
        <v>1.6550866093300001</v>
      </c>
      <c r="H100" s="26"/>
      <c r="I100" s="26"/>
      <c r="J100" s="26"/>
      <c r="K100" s="26"/>
      <c r="L100" s="26"/>
      <c r="M100" s="26"/>
      <c r="N100" s="26"/>
      <c r="O100" s="26"/>
      <c r="P100" s="26"/>
      <c r="Q100" s="26"/>
    </row>
    <row r="101" spans="1:17" outlineLevel="4" x14ac:dyDescent="0.3">
      <c r="A101" s="175" t="s">
        <v>145</v>
      </c>
      <c r="B101" s="176">
        <v>3.690390834E-2</v>
      </c>
      <c r="C101" s="176">
        <v>0.1594837704</v>
      </c>
      <c r="D101" s="176">
        <v>0.11713829667</v>
      </c>
      <c r="E101" s="176">
        <v>9.436784896E-2</v>
      </c>
      <c r="F101" s="176">
        <v>6.2834343449999996E-2</v>
      </c>
      <c r="G101" s="176">
        <v>7.8600606500000003E-2</v>
      </c>
      <c r="H101" s="26"/>
      <c r="I101" s="26"/>
      <c r="J101" s="26"/>
      <c r="K101" s="26"/>
      <c r="L101" s="26"/>
      <c r="M101" s="26"/>
      <c r="N101" s="26"/>
      <c r="O101" s="26"/>
      <c r="P101" s="26"/>
      <c r="Q101" s="26"/>
    </row>
    <row r="102" spans="1:17" outlineLevel="4" x14ac:dyDescent="0.3">
      <c r="A102" s="175" t="s">
        <v>146</v>
      </c>
      <c r="B102" s="176">
        <v>0</v>
      </c>
      <c r="C102" s="176">
        <v>1.2999999999999999E-2</v>
      </c>
      <c r="D102" s="176">
        <v>1.2999999999999999E-2</v>
      </c>
      <c r="E102" s="176">
        <v>1.155555556E-2</v>
      </c>
      <c r="F102" s="176">
        <v>7.2222222400000003E-3</v>
      </c>
      <c r="G102" s="176">
        <v>6.5000000199999996E-3</v>
      </c>
      <c r="H102" s="26"/>
      <c r="I102" s="26"/>
      <c r="J102" s="26"/>
      <c r="K102" s="26"/>
      <c r="L102" s="26"/>
      <c r="M102" s="26"/>
      <c r="N102" s="26"/>
      <c r="O102" s="26"/>
      <c r="P102" s="26"/>
      <c r="Q102" s="26"/>
    </row>
    <row r="103" spans="1:17" outlineLevel="4" x14ac:dyDescent="0.3">
      <c r="A103" s="175" t="s">
        <v>147</v>
      </c>
      <c r="B103" s="176">
        <v>6.6975004439999999E-2</v>
      </c>
      <c r="C103" s="176">
        <v>0.38894169869</v>
      </c>
      <c r="D103" s="176">
        <v>0.33856009715000002</v>
      </c>
      <c r="E103" s="176">
        <v>0.29996368222999997</v>
      </c>
      <c r="F103" s="176">
        <v>0.35657922199999997</v>
      </c>
      <c r="G103" s="176">
        <v>0.40726282439</v>
      </c>
      <c r="H103" s="26"/>
      <c r="I103" s="26"/>
      <c r="J103" s="26"/>
      <c r="K103" s="26"/>
      <c r="L103" s="26"/>
      <c r="M103" s="26"/>
      <c r="N103" s="26"/>
      <c r="O103" s="26"/>
      <c r="P103" s="26"/>
      <c r="Q103" s="26"/>
    </row>
    <row r="104" spans="1:17" outlineLevel="4" x14ac:dyDescent="0.3">
      <c r="A104" s="175" t="s">
        <v>148</v>
      </c>
      <c r="B104" s="176">
        <v>0.14931268807</v>
      </c>
      <c r="C104" s="176">
        <v>0.44777098092000001</v>
      </c>
      <c r="D104" s="176">
        <v>0.37704441026000002</v>
      </c>
      <c r="E104" s="176">
        <v>0.34677464744999997</v>
      </c>
      <c r="F104" s="176">
        <v>0.31541573540000001</v>
      </c>
      <c r="G104" s="176">
        <v>0.35514685483000002</v>
      </c>
      <c r="H104" s="26"/>
      <c r="I104" s="26"/>
      <c r="J104" s="26"/>
      <c r="K104" s="26"/>
      <c r="L104" s="26"/>
      <c r="M104" s="26"/>
      <c r="N104" s="26"/>
      <c r="O104" s="26"/>
      <c r="P104" s="26"/>
      <c r="Q104" s="26"/>
    </row>
    <row r="105" spans="1:17" outlineLevel="4" x14ac:dyDescent="0.3">
      <c r="A105" s="175" t="s">
        <v>149</v>
      </c>
      <c r="B105" s="176">
        <v>0</v>
      </c>
      <c r="C105" s="176">
        <v>0.01</v>
      </c>
      <c r="D105" s="176">
        <v>0.01</v>
      </c>
      <c r="E105" s="176">
        <v>8.8888888799999993E-3</v>
      </c>
      <c r="F105" s="176">
        <v>5.5555555199999999E-3</v>
      </c>
      <c r="G105" s="176">
        <v>1.489839456E-2</v>
      </c>
      <c r="H105" s="26"/>
      <c r="I105" s="26"/>
      <c r="J105" s="26"/>
      <c r="K105" s="26"/>
      <c r="L105" s="26"/>
      <c r="M105" s="26"/>
      <c r="N105" s="26"/>
      <c r="O105" s="26"/>
      <c r="P105" s="26"/>
      <c r="Q105" s="26"/>
    </row>
    <row r="106" spans="1:17" outlineLevel="4" x14ac:dyDescent="0.3">
      <c r="A106" s="175" t="s">
        <v>150</v>
      </c>
      <c r="B106" s="176">
        <v>0</v>
      </c>
      <c r="C106" s="176">
        <v>1.4E-2</v>
      </c>
      <c r="D106" s="176">
        <v>1.4E-2</v>
      </c>
      <c r="E106" s="176">
        <v>1.2444444440000001E-2</v>
      </c>
      <c r="F106" s="176">
        <v>7.77777776E-3</v>
      </c>
      <c r="G106" s="176">
        <v>6.9999999800000002E-3</v>
      </c>
      <c r="H106" s="26"/>
      <c r="I106" s="26"/>
      <c r="J106" s="26"/>
      <c r="K106" s="26"/>
      <c r="L106" s="26"/>
      <c r="M106" s="26"/>
      <c r="N106" s="26"/>
      <c r="O106" s="26"/>
      <c r="P106" s="26"/>
      <c r="Q106" s="26"/>
    </row>
    <row r="107" spans="1:17" outlineLevel="4" x14ac:dyDescent="0.3">
      <c r="A107" s="175" t="s">
        <v>151</v>
      </c>
      <c r="B107" s="176">
        <v>3.0417893000000001E-3</v>
      </c>
      <c r="C107" s="176">
        <v>0</v>
      </c>
      <c r="D107" s="176">
        <v>0</v>
      </c>
      <c r="E107" s="176">
        <v>0</v>
      </c>
      <c r="F107" s="176">
        <v>0</v>
      </c>
      <c r="G107" s="176">
        <v>0</v>
      </c>
      <c r="H107" s="26"/>
      <c r="I107" s="26"/>
      <c r="J107" s="26"/>
      <c r="K107" s="26"/>
      <c r="L107" s="26"/>
      <c r="M107" s="26"/>
      <c r="N107" s="26"/>
      <c r="O107" s="26"/>
      <c r="P107" s="26"/>
      <c r="Q107" s="26"/>
    </row>
    <row r="108" spans="1:17" outlineLevel="4" x14ac:dyDescent="0.3">
      <c r="A108" s="175" t="s">
        <v>152</v>
      </c>
      <c r="B108" s="176">
        <v>2.1386432489999999E-2</v>
      </c>
      <c r="C108" s="176">
        <v>1.099617233E-2</v>
      </c>
      <c r="D108" s="176">
        <v>4.1006707400000003E-3</v>
      </c>
      <c r="E108" s="176">
        <v>0</v>
      </c>
      <c r="F108" s="176">
        <v>0</v>
      </c>
      <c r="G108" s="176">
        <v>0</v>
      </c>
      <c r="H108" s="26"/>
      <c r="I108" s="26"/>
      <c r="J108" s="26"/>
      <c r="K108" s="26"/>
      <c r="L108" s="26"/>
      <c r="M108" s="26"/>
      <c r="N108" s="26"/>
      <c r="O108" s="26"/>
      <c r="P108" s="26"/>
      <c r="Q108" s="26"/>
    </row>
    <row r="109" spans="1:17" outlineLevel="4" x14ac:dyDescent="0.3">
      <c r="A109" s="175" t="s">
        <v>153</v>
      </c>
      <c r="B109" s="176">
        <v>0</v>
      </c>
      <c r="C109" s="176">
        <v>0.13291786366</v>
      </c>
      <c r="D109" s="176">
        <v>0.77646744939000001</v>
      </c>
      <c r="E109" s="176">
        <v>0.82734536614999998</v>
      </c>
      <c r="F109" s="176">
        <v>0.78797958281000002</v>
      </c>
      <c r="G109" s="176">
        <v>0.78567792905</v>
      </c>
      <c r="H109" s="26"/>
      <c r="I109" s="26"/>
      <c r="J109" s="26"/>
      <c r="K109" s="26"/>
      <c r="L109" s="26"/>
      <c r="M109" s="26"/>
      <c r="N109" s="26"/>
      <c r="O109" s="26"/>
      <c r="P109" s="26"/>
      <c r="Q109" s="26"/>
    </row>
    <row r="110" spans="1:17" outlineLevel="3" x14ac:dyDescent="0.3">
      <c r="A110" s="177" t="s">
        <v>154</v>
      </c>
      <c r="B110" s="176">
        <f t="shared" ref="B110:G110" si="17">SUM(B$111:B$111)</f>
        <v>3.3763519999999998E-5</v>
      </c>
      <c r="C110" s="176">
        <f t="shared" si="17"/>
        <v>3.4996809999999997E-5</v>
      </c>
      <c r="D110" s="176">
        <f t="shared" si="17"/>
        <v>2.6105729999999998E-5</v>
      </c>
      <c r="E110" s="176">
        <f t="shared" si="17"/>
        <v>2.5134010000000001E-5</v>
      </c>
      <c r="F110" s="176">
        <f t="shared" si="17"/>
        <v>2.270868E-5</v>
      </c>
      <c r="G110" s="176">
        <f t="shared" si="17"/>
        <v>2.2995859999999998E-5</v>
      </c>
      <c r="H110" s="26"/>
      <c r="I110" s="26"/>
      <c r="J110" s="26"/>
      <c r="K110" s="26"/>
      <c r="L110" s="26"/>
      <c r="M110" s="26"/>
      <c r="N110" s="26"/>
      <c r="O110" s="26"/>
      <c r="P110" s="26"/>
      <c r="Q110" s="26"/>
    </row>
    <row r="111" spans="1:17" outlineLevel="4" x14ac:dyDescent="0.3">
      <c r="A111" s="175" t="s">
        <v>155</v>
      </c>
      <c r="B111" s="176">
        <v>3.3763519999999998E-5</v>
      </c>
      <c r="C111" s="176">
        <v>3.4996809999999997E-5</v>
      </c>
      <c r="D111" s="176">
        <v>2.6105729999999998E-5</v>
      </c>
      <c r="E111" s="176">
        <v>2.5134010000000001E-5</v>
      </c>
      <c r="F111" s="176">
        <v>2.270868E-5</v>
      </c>
      <c r="G111" s="176">
        <v>2.2995859999999998E-5</v>
      </c>
      <c r="H111" s="26"/>
      <c r="I111" s="26"/>
      <c r="J111" s="26"/>
      <c r="K111" s="26"/>
      <c r="L111" s="26"/>
      <c r="M111" s="26"/>
      <c r="N111" s="26"/>
      <c r="O111" s="26"/>
      <c r="P111" s="26"/>
      <c r="Q111" s="26"/>
    </row>
    <row r="112" spans="1:17" ht="14.5" outlineLevel="2" x14ac:dyDescent="0.35">
      <c r="A112" s="186" t="s">
        <v>95</v>
      </c>
      <c r="B112" s="187">
        <f t="shared" ref="B112:G112" si="18">B$113+B$120+B$123+B$126+B$129</f>
        <v>9.2101342874600007</v>
      </c>
      <c r="C112" s="187">
        <f t="shared" si="18"/>
        <v>9.542456725500001</v>
      </c>
      <c r="D112" s="187">
        <f t="shared" si="18"/>
        <v>7.8820702753100003</v>
      </c>
      <c r="E112" s="187">
        <f t="shared" si="18"/>
        <v>6.9175722951700003</v>
      </c>
      <c r="F112" s="187">
        <f t="shared" si="18"/>
        <v>5.2131031995800008</v>
      </c>
      <c r="G112" s="187">
        <f t="shared" si="18"/>
        <v>4.9666803144300005</v>
      </c>
      <c r="H112" s="26"/>
      <c r="I112" s="26"/>
      <c r="J112" s="26"/>
      <c r="K112" s="26"/>
      <c r="L112" s="26"/>
      <c r="M112" s="26"/>
      <c r="N112" s="26"/>
      <c r="O112" s="26"/>
      <c r="P112" s="26"/>
      <c r="Q112" s="26"/>
    </row>
    <row r="113" spans="1:17" outlineLevel="3" x14ac:dyDescent="0.3">
      <c r="A113" s="177" t="s">
        <v>96</v>
      </c>
      <c r="B113" s="176">
        <f t="shared" ref="B113:G113" si="19">SUM(B$114:B$119)</f>
        <v>7.8396779266699994</v>
      </c>
      <c r="C113" s="176">
        <f t="shared" si="19"/>
        <v>6.8215236588600003</v>
      </c>
      <c r="D113" s="176">
        <f t="shared" si="19"/>
        <v>5.22954123319</v>
      </c>
      <c r="E113" s="176">
        <f t="shared" si="19"/>
        <v>4.23165891857</v>
      </c>
      <c r="F113" s="176">
        <f t="shared" si="19"/>
        <v>3.2418873771000003</v>
      </c>
      <c r="G113" s="176">
        <f t="shared" si="19"/>
        <v>2.9986601518000002</v>
      </c>
      <c r="H113" s="26"/>
      <c r="I113" s="26"/>
      <c r="J113" s="26"/>
      <c r="K113" s="26"/>
      <c r="L113" s="26"/>
      <c r="M113" s="26"/>
      <c r="N113" s="26"/>
      <c r="O113" s="26"/>
      <c r="P113" s="26"/>
      <c r="Q113" s="26"/>
    </row>
    <row r="114" spans="1:17" outlineLevel="4" x14ac:dyDescent="0.3">
      <c r="A114" s="175" t="s">
        <v>156</v>
      </c>
      <c r="B114" s="176">
        <v>0.2457300899</v>
      </c>
      <c r="C114" s="176">
        <v>0.34008035721000002</v>
      </c>
      <c r="D114" s="176">
        <v>0.31954463665999999</v>
      </c>
      <c r="E114" s="176">
        <v>0.33337466827000001</v>
      </c>
      <c r="F114" s="176">
        <v>0.31347034895999998</v>
      </c>
      <c r="G114" s="176">
        <v>0.31430987136999999</v>
      </c>
      <c r="H114" s="26"/>
      <c r="I114" s="26"/>
      <c r="J114" s="26"/>
      <c r="K114" s="26"/>
      <c r="L114" s="26"/>
      <c r="M114" s="26"/>
      <c r="N114" s="26"/>
      <c r="O114" s="26"/>
      <c r="P114" s="26"/>
      <c r="Q114" s="26"/>
    </row>
    <row r="115" spans="1:17" outlineLevel="4" x14ac:dyDescent="0.3">
      <c r="A115" s="175" t="s">
        <v>99</v>
      </c>
      <c r="B115" s="176">
        <v>0.36897050998000003</v>
      </c>
      <c r="C115" s="176">
        <v>0.34018379404999999</v>
      </c>
      <c r="D115" s="176">
        <v>0.60634335549999996</v>
      </c>
      <c r="E115" s="176">
        <v>1.11848112001</v>
      </c>
      <c r="F115" s="176">
        <v>1.0781519687600001</v>
      </c>
      <c r="G115" s="176">
        <v>0.95968797809999995</v>
      </c>
      <c r="H115" s="26"/>
      <c r="I115" s="26"/>
      <c r="J115" s="26"/>
      <c r="K115" s="26"/>
      <c r="L115" s="26"/>
      <c r="M115" s="26"/>
      <c r="N115" s="26"/>
      <c r="O115" s="26"/>
      <c r="P115" s="26"/>
      <c r="Q115" s="26"/>
    </row>
    <row r="116" spans="1:17" outlineLevel="4" x14ac:dyDescent="0.3">
      <c r="A116" s="175" t="s">
        <v>100</v>
      </c>
      <c r="B116" s="176">
        <v>6.7287041869999994E-2</v>
      </c>
      <c r="C116" s="176">
        <v>6.1798268910000002E-2</v>
      </c>
      <c r="D116" s="176">
        <v>0.10946001528</v>
      </c>
      <c r="E116" s="176">
        <v>0.11186386994</v>
      </c>
      <c r="F116" s="176">
        <v>0.19232794526999999</v>
      </c>
      <c r="G116" s="176">
        <v>0.19140065043000001</v>
      </c>
      <c r="H116" s="26"/>
      <c r="I116" s="26"/>
      <c r="J116" s="26"/>
      <c r="K116" s="26"/>
      <c r="L116" s="26"/>
      <c r="M116" s="26"/>
      <c r="N116" s="26"/>
      <c r="O116" s="26"/>
      <c r="P116" s="26"/>
      <c r="Q116" s="26"/>
    </row>
    <row r="117" spans="1:17" outlineLevel="4" x14ac:dyDescent="0.3">
      <c r="A117" s="175" t="s">
        <v>103</v>
      </c>
      <c r="B117" s="176">
        <v>0.4480903752</v>
      </c>
      <c r="C117" s="176">
        <v>0.46823055755999998</v>
      </c>
      <c r="D117" s="176">
        <v>0.46950737846000001</v>
      </c>
      <c r="E117" s="176">
        <v>0.53712731924000001</v>
      </c>
      <c r="F117" s="176">
        <v>0.51326692550999997</v>
      </c>
      <c r="G117" s="176">
        <v>0.51326692550999997</v>
      </c>
      <c r="H117" s="26"/>
      <c r="I117" s="26"/>
      <c r="J117" s="26"/>
      <c r="K117" s="26"/>
      <c r="L117" s="26"/>
      <c r="M117" s="26"/>
      <c r="N117" s="26"/>
      <c r="O117" s="26"/>
      <c r="P117" s="26"/>
      <c r="Q117" s="26"/>
    </row>
    <row r="118" spans="1:17" outlineLevel="4" x14ac:dyDescent="0.3">
      <c r="A118" s="175" t="s">
        <v>104</v>
      </c>
      <c r="B118" s="176">
        <v>6.7095999097199996</v>
      </c>
      <c r="C118" s="176">
        <v>5.6112306811300003</v>
      </c>
      <c r="D118" s="176">
        <v>3.7245303992899998</v>
      </c>
      <c r="E118" s="176">
        <v>2.13065401311</v>
      </c>
      <c r="F118" s="176">
        <v>1.1443781555999999</v>
      </c>
      <c r="G118" s="176">
        <v>1.01970269339</v>
      </c>
      <c r="H118" s="26"/>
      <c r="I118" s="26"/>
      <c r="J118" s="26"/>
      <c r="K118" s="26"/>
      <c r="L118" s="26"/>
      <c r="M118" s="26"/>
      <c r="N118" s="26"/>
      <c r="O118" s="26"/>
      <c r="P118" s="26"/>
      <c r="Q118" s="26"/>
    </row>
    <row r="119" spans="1:17" outlineLevel="4" x14ac:dyDescent="0.3">
      <c r="A119" s="175" t="s">
        <v>105</v>
      </c>
      <c r="B119" s="176">
        <v>0</v>
      </c>
      <c r="C119" s="176">
        <v>0</v>
      </c>
      <c r="D119" s="176">
        <v>1.5544800000000001E-4</v>
      </c>
      <c r="E119" s="176">
        <v>1.57928E-4</v>
      </c>
      <c r="F119" s="176">
        <v>2.9203299999999997E-4</v>
      </c>
      <c r="G119" s="176">
        <v>2.9203299999999997E-4</v>
      </c>
      <c r="H119" s="26"/>
      <c r="I119" s="26"/>
      <c r="J119" s="26"/>
      <c r="K119" s="26"/>
      <c r="L119" s="26"/>
      <c r="M119" s="26"/>
      <c r="N119" s="26"/>
      <c r="O119" s="26"/>
      <c r="P119" s="26"/>
      <c r="Q119" s="26"/>
    </row>
    <row r="120" spans="1:17" outlineLevel="3" x14ac:dyDescent="0.3">
      <c r="A120" s="177" t="s">
        <v>157</v>
      </c>
      <c r="B120" s="176">
        <f t="shared" ref="B120:G120" si="20">SUM(B$121:B$122)</f>
        <v>1.05</v>
      </c>
      <c r="C120" s="176">
        <f t="shared" si="20"/>
        <v>0.9</v>
      </c>
      <c r="D120" s="176">
        <f t="shared" si="20"/>
        <v>0.82499999999999996</v>
      </c>
      <c r="E120" s="176">
        <f t="shared" si="20"/>
        <v>0.85471092828999995</v>
      </c>
      <c r="F120" s="176">
        <f t="shared" si="20"/>
        <v>0.85779034641999996</v>
      </c>
      <c r="G120" s="176">
        <f t="shared" si="20"/>
        <v>0.85787816407999995</v>
      </c>
      <c r="H120" s="26"/>
      <c r="I120" s="26"/>
      <c r="J120" s="26"/>
      <c r="K120" s="26"/>
      <c r="L120" s="26"/>
      <c r="M120" s="26"/>
      <c r="N120" s="26"/>
      <c r="O120" s="26"/>
      <c r="P120" s="26"/>
      <c r="Q120" s="26"/>
    </row>
    <row r="121" spans="1:17" outlineLevel="4" x14ac:dyDescent="0.3">
      <c r="A121" s="175" t="s">
        <v>158</v>
      </c>
      <c r="B121" s="176">
        <v>1.05</v>
      </c>
      <c r="C121" s="176">
        <v>0.9</v>
      </c>
      <c r="D121" s="176">
        <v>0.82499999999999996</v>
      </c>
      <c r="E121" s="176">
        <v>0.82499999999999996</v>
      </c>
      <c r="F121" s="176">
        <v>0.82499999999999996</v>
      </c>
      <c r="G121" s="176">
        <v>0.82499999999999996</v>
      </c>
      <c r="H121" s="26"/>
      <c r="I121" s="26"/>
      <c r="J121" s="26"/>
      <c r="K121" s="26"/>
      <c r="L121" s="26"/>
      <c r="M121" s="26"/>
      <c r="N121" s="26"/>
      <c r="O121" s="26"/>
      <c r="P121" s="26"/>
      <c r="Q121" s="26"/>
    </row>
    <row r="122" spans="1:17" outlineLevel="4" x14ac:dyDescent="0.3">
      <c r="A122" s="175" t="s">
        <v>111</v>
      </c>
      <c r="B122" s="176">
        <v>0</v>
      </c>
      <c r="C122" s="176">
        <v>0</v>
      </c>
      <c r="D122" s="176">
        <v>0</v>
      </c>
      <c r="E122" s="176">
        <v>2.9710928290000001E-2</v>
      </c>
      <c r="F122" s="176">
        <v>3.2790346419999998E-2</v>
      </c>
      <c r="G122" s="176">
        <v>3.2878164080000001E-2</v>
      </c>
      <c r="H122" s="26"/>
      <c r="I122" s="26"/>
      <c r="J122" s="26"/>
      <c r="K122" s="26"/>
      <c r="L122" s="26"/>
      <c r="M122" s="26"/>
      <c r="N122" s="26"/>
      <c r="O122" s="26"/>
      <c r="P122" s="26"/>
      <c r="Q122" s="26"/>
    </row>
    <row r="123" spans="1:17" outlineLevel="3" x14ac:dyDescent="0.3">
      <c r="A123" s="177" t="s">
        <v>119</v>
      </c>
      <c r="B123" s="176">
        <f t="shared" ref="B123:G123" si="21">SUM(B$124:B$125)</f>
        <v>0.20315598926</v>
      </c>
      <c r="C123" s="176">
        <f t="shared" si="21"/>
        <v>0.18194537496000002</v>
      </c>
      <c r="D123" s="176">
        <f t="shared" si="21"/>
        <v>0.19414059239000001</v>
      </c>
      <c r="E123" s="176">
        <f t="shared" si="21"/>
        <v>0.19693230805</v>
      </c>
      <c r="F123" s="176">
        <f t="shared" si="21"/>
        <v>0.18221230804999999</v>
      </c>
      <c r="G123" s="176">
        <f t="shared" si="21"/>
        <v>0.17853230805</v>
      </c>
      <c r="H123" s="26"/>
      <c r="I123" s="26"/>
      <c r="J123" s="26"/>
      <c r="K123" s="26"/>
      <c r="L123" s="26"/>
      <c r="M123" s="26"/>
      <c r="N123" s="26"/>
      <c r="O123" s="26"/>
      <c r="P123" s="26"/>
      <c r="Q123" s="26"/>
    </row>
    <row r="124" spans="1:17" outlineLevel="4" x14ac:dyDescent="0.3">
      <c r="A124" s="175" t="s">
        <v>159</v>
      </c>
      <c r="B124" s="176">
        <v>0.17459425459</v>
      </c>
      <c r="C124" s="176">
        <v>0.16409411059000001</v>
      </c>
      <c r="D124" s="176">
        <v>0.18854023267</v>
      </c>
      <c r="E124" s="176">
        <v>0.19693230805</v>
      </c>
      <c r="F124" s="176">
        <v>0.18221230804999999</v>
      </c>
      <c r="G124" s="176">
        <v>0.17853230805</v>
      </c>
      <c r="H124" s="26"/>
      <c r="I124" s="26"/>
      <c r="J124" s="26"/>
      <c r="K124" s="26"/>
      <c r="L124" s="26"/>
      <c r="M124" s="26"/>
      <c r="N124" s="26"/>
      <c r="O124" s="26"/>
      <c r="P124" s="26"/>
      <c r="Q124" s="26"/>
    </row>
    <row r="125" spans="1:17" outlineLevel="4" x14ac:dyDescent="0.3">
      <c r="A125" s="175" t="s">
        <v>124</v>
      </c>
      <c r="B125" s="176">
        <v>2.8561734669999998E-2</v>
      </c>
      <c r="C125" s="176">
        <v>1.7851264370000001E-2</v>
      </c>
      <c r="D125" s="176">
        <v>5.6003597199999998E-3</v>
      </c>
      <c r="E125" s="176">
        <v>0</v>
      </c>
      <c r="F125" s="176">
        <v>0</v>
      </c>
      <c r="G125" s="176">
        <v>0</v>
      </c>
      <c r="H125" s="26"/>
      <c r="I125" s="26"/>
      <c r="J125" s="26"/>
      <c r="K125" s="26"/>
      <c r="L125" s="26"/>
      <c r="M125" s="26"/>
      <c r="N125" s="26"/>
      <c r="O125" s="26"/>
      <c r="P125" s="26"/>
      <c r="Q125" s="26"/>
    </row>
    <row r="126" spans="1:17" outlineLevel="3" x14ac:dyDescent="0.3">
      <c r="A126" s="177" t="s">
        <v>160</v>
      </c>
      <c r="B126" s="176">
        <f t="shared" ref="B126:G126" si="22">SUM(B$127:B$128)</f>
        <v>0</v>
      </c>
      <c r="C126" s="176">
        <f t="shared" si="22"/>
        <v>1.5249999999999999</v>
      </c>
      <c r="D126" s="176">
        <f t="shared" si="22"/>
        <v>1.5249999999999999</v>
      </c>
      <c r="E126" s="176">
        <f t="shared" si="22"/>
        <v>1.5249999999999999</v>
      </c>
      <c r="F126" s="176">
        <f t="shared" si="22"/>
        <v>0.82499999999999996</v>
      </c>
      <c r="G126" s="176">
        <f t="shared" si="22"/>
        <v>0.82499999999999996</v>
      </c>
      <c r="H126" s="26"/>
      <c r="I126" s="26"/>
      <c r="J126" s="26"/>
      <c r="K126" s="26"/>
      <c r="L126" s="26"/>
      <c r="M126" s="26"/>
      <c r="N126" s="26"/>
      <c r="O126" s="26"/>
      <c r="P126" s="26"/>
      <c r="Q126" s="26"/>
    </row>
    <row r="127" spans="1:17" outlineLevel="4" x14ac:dyDescent="0.3">
      <c r="A127" s="175" t="s">
        <v>161</v>
      </c>
      <c r="B127" s="176">
        <v>0</v>
      </c>
      <c r="C127" s="176">
        <v>0.7</v>
      </c>
      <c r="D127" s="176">
        <v>0.7</v>
      </c>
      <c r="E127" s="176">
        <v>0.7</v>
      </c>
      <c r="F127" s="176">
        <v>0</v>
      </c>
      <c r="G127" s="176">
        <v>0</v>
      </c>
      <c r="H127" s="26"/>
      <c r="I127" s="26"/>
      <c r="J127" s="26"/>
      <c r="K127" s="26"/>
      <c r="L127" s="26"/>
      <c r="M127" s="26"/>
      <c r="N127" s="26"/>
      <c r="O127" s="26"/>
      <c r="P127" s="26"/>
      <c r="Q127" s="26"/>
    </row>
    <row r="128" spans="1:17" outlineLevel="4" x14ac:dyDescent="0.3">
      <c r="A128" s="175" t="s">
        <v>162</v>
      </c>
      <c r="B128" s="176">
        <v>0</v>
      </c>
      <c r="C128" s="176">
        <v>0.82499999999999996</v>
      </c>
      <c r="D128" s="176">
        <v>0.82499999999999996</v>
      </c>
      <c r="E128" s="176">
        <v>0.82499999999999996</v>
      </c>
      <c r="F128" s="176">
        <v>0.82499999999999996</v>
      </c>
      <c r="G128" s="176">
        <v>0.82499999999999996</v>
      </c>
      <c r="H128" s="26"/>
      <c r="I128" s="26"/>
      <c r="J128" s="26"/>
      <c r="K128" s="26"/>
      <c r="L128" s="26"/>
      <c r="M128" s="26"/>
      <c r="N128" s="26"/>
      <c r="O128" s="26"/>
      <c r="P128" s="26"/>
      <c r="Q128" s="26"/>
    </row>
    <row r="129" spans="1:17" outlineLevel="3" x14ac:dyDescent="0.3">
      <c r="A129" s="177" t="s">
        <v>137</v>
      </c>
      <c r="B129" s="176">
        <f t="shared" ref="B129:G129" si="23">SUM(B$130:B$130)</f>
        <v>0.11730037153</v>
      </c>
      <c r="C129" s="176">
        <f t="shared" si="23"/>
        <v>0.11398769168</v>
      </c>
      <c r="D129" s="176">
        <f t="shared" si="23"/>
        <v>0.10838844973</v>
      </c>
      <c r="E129" s="176">
        <f t="shared" si="23"/>
        <v>0.10927014026</v>
      </c>
      <c r="F129" s="176">
        <f t="shared" si="23"/>
        <v>0.10621316801</v>
      </c>
      <c r="G129" s="176">
        <f t="shared" si="23"/>
        <v>0.10660969050000001</v>
      </c>
      <c r="H129" s="26"/>
      <c r="I129" s="26"/>
      <c r="J129" s="26"/>
      <c r="K129" s="26"/>
      <c r="L129" s="26"/>
      <c r="M129" s="26"/>
      <c r="N129" s="26"/>
      <c r="O129" s="26"/>
      <c r="P129" s="26"/>
      <c r="Q129" s="26"/>
    </row>
    <row r="130" spans="1:17" outlineLevel="4" x14ac:dyDescent="0.3">
      <c r="A130" s="175" t="s">
        <v>104</v>
      </c>
      <c r="B130" s="176">
        <v>0.11730037153</v>
      </c>
      <c r="C130" s="176">
        <v>0.11398769168</v>
      </c>
      <c r="D130" s="176">
        <v>0.10838844973</v>
      </c>
      <c r="E130" s="176">
        <v>0.10927014026</v>
      </c>
      <c r="F130" s="176">
        <v>0.10621316801</v>
      </c>
      <c r="G130" s="176">
        <v>0.10660969050000001</v>
      </c>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2" bestFit="1" customWidth="1"/>
    <col min="2" max="2" width="12.453125" style="23" bestFit="1" customWidth="1"/>
    <col min="3" max="3" width="13.54296875" style="23" bestFit="1" customWidth="1"/>
    <col min="4" max="4" width="10.26953125" style="72" customWidth="1"/>
    <col min="5" max="6" width="13.54296875" style="23" bestFit="1" customWidth="1"/>
    <col min="7" max="7" width="10.26953125" style="72" customWidth="1"/>
    <col min="8" max="8" width="12.7265625" style="23" hidden="1" customWidth="1"/>
    <col min="9" max="9" width="16.54296875" style="23" bestFit="1" customWidth="1"/>
    <col min="10" max="10" width="9.1796875" style="22" customWidth="1"/>
    <col min="11" max="16384" width="9.1796875" style="22"/>
  </cols>
  <sheetData>
    <row r="2" spans="1:19" ht="38.25" customHeight="1" x14ac:dyDescent="0.45">
      <c r="A2" s="289" t="str">
        <f>DEBT_BY_CONVENTIONAKITY</f>
        <v>Структура боргу за ознакою умовності
на кінець попереднього року та на звітну дату</v>
      </c>
      <c r="B2" s="280"/>
      <c r="C2" s="280"/>
      <c r="D2" s="280"/>
      <c r="E2" s="280"/>
      <c r="F2" s="280"/>
      <c r="G2" s="280"/>
      <c r="H2" s="280"/>
      <c r="I2" s="280"/>
      <c r="J2" s="26"/>
      <c r="K2" s="26"/>
      <c r="L2" s="26"/>
      <c r="M2" s="26"/>
      <c r="N2" s="26"/>
      <c r="O2" s="26"/>
      <c r="P2" s="26"/>
      <c r="Q2" s="26"/>
      <c r="R2" s="26"/>
      <c r="S2" s="26"/>
    </row>
    <row r="3" spans="1:19" x14ac:dyDescent="0.3">
      <c r="A3" s="24"/>
    </row>
    <row r="4" spans="1:19" s="27" customFormat="1" x14ac:dyDescent="0.3">
      <c r="B4" s="28"/>
      <c r="C4" s="28"/>
      <c r="D4" s="67"/>
      <c r="E4" s="28"/>
      <c r="F4" s="28"/>
      <c r="G4" s="67"/>
      <c r="H4" s="28" t="s">
        <v>56</v>
      </c>
      <c r="I4" s="27" t="str">
        <f>VALVAL</f>
        <v>млрд. одиниць</v>
      </c>
    </row>
    <row r="5" spans="1:19" s="53" customFormat="1" x14ac:dyDescent="0.25">
      <c r="A5" s="78"/>
      <c r="B5" s="283">
        <v>45657</v>
      </c>
      <c r="C5" s="284"/>
      <c r="D5" s="285"/>
      <c r="E5" s="283">
        <v>45716</v>
      </c>
      <c r="F5" s="284"/>
      <c r="G5" s="285"/>
      <c r="H5" s="79"/>
      <c r="I5" s="79"/>
    </row>
    <row r="6" spans="1:19" s="80" customFormat="1" x14ac:dyDescent="0.25">
      <c r="A6" s="12"/>
      <c r="B6" s="68" t="str">
        <f>USD</f>
        <v>дол.США</v>
      </c>
      <c r="C6" s="68" t="str">
        <f>UAH</f>
        <v>грн.</v>
      </c>
      <c r="D6" s="69" t="s">
        <v>0</v>
      </c>
      <c r="E6" s="68" t="str">
        <f>USD</f>
        <v>дол.США</v>
      </c>
      <c r="F6" s="68" t="str">
        <f>UAH</f>
        <v>грн.</v>
      </c>
      <c r="G6" s="69" t="s">
        <v>0</v>
      </c>
      <c r="H6" s="68" t="s">
        <v>0</v>
      </c>
      <c r="I6" s="68" t="str">
        <f>CHANGE_OF_STRUCTURE</f>
        <v>Зміна структури</v>
      </c>
    </row>
    <row r="7" spans="1:19" s="15" customFormat="1" ht="14.5" x14ac:dyDescent="0.25">
      <c r="A7" s="156" t="str">
        <f>DEBT_TOTAL</f>
        <v>Загальна сума державного та гарантованого державою боргу</v>
      </c>
      <c r="B7" s="125">
        <f t="shared" ref="B7:G7" si="0">SUM(B$8+ B$9)</f>
        <v>166.05925130833998</v>
      </c>
      <c r="C7" s="125">
        <f t="shared" si="0"/>
        <v>6980.96486574559</v>
      </c>
      <c r="D7" s="126">
        <f t="shared" si="0"/>
        <v>1</v>
      </c>
      <c r="E7" s="125">
        <f t="shared" si="0"/>
        <v>169.08837600779998</v>
      </c>
      <c r="F7" s="125">
        <f t="shared" si="0"/>
        <v>7019.5348415889603</v>
      </c>
      <c r="G7" s="126">
        <f t="shared" si="0"/>
        <v>1</v>
      </c>
      <c r="H7" s="125"/>
      <c r="I7" s="125">
        <f>SUM(I$8+ I$9)</f>
        <v>0</v>
      </c>
    </row>
    <row r="8" spans="1:19" s="38" customFormat="1" outlineLevel="1" x14ac:dyDescent="0.25">
      <c r="A8" s="160" t="s">
        <v>1</v>
      </c>
      <c r="B8" s="166">
        <v>159.19631191120999</v>
      </c>
      <c r="C8" s="166">
        <v>6692.4537564279799</v>
      </c>
      <c r="D8" s="230">
        <v>0.95867199999999997</v>
      </c>
      <c r="E8" s="166">
        <v>162.35879084801999</v>
      </c>
      <c r="F8" s="166">
        <v>6740.16284326606</v>
      </c>
      <c r="G8" s="230">
        <v>0.96020099999999997</v>
      </c>
      <c r="H8" s="166">
        <v>1.529E-3</v>
      </c>
      <c r="I8" s="19">
        <v>-21.4</v>
      </c>
    </row>
    <row r="9" spans="1:19" s="38" customFormat="1" outlineLevel="1" x14ac:dyDescent="0.25">
      <c r="A9" s="160" t="s">
        <v>2</v>
      </c>
      <c r="B9" s="166">
        <v>6.8629393971299999</v>
      </c>
      <c r="C9" s="166">
        <v>288.51110931761002</v>
      </c>
      <c r="D9" s="230">
        <v>4.1327999999999997E-2</v>
      </c>
      <c r="E9" s="166">
        <v>6.72958515978</v>
      </c>
      <c r="F9" s="166">
        <v>279.37199832290003</v>
      </c>
      <c r="G9" s="230">
        <v>3.9799000000000001E-2</v>
      </c>
      <c r="H9" s="166">
        <v>-1.529E-3</v>
      </c>
      <c r="I9" s="19">
        <v>21.4</v>
      </c>
    </row>
    <row r="10" spans="1:19" x14ac:dyDescent="0.3">
      <c r="B10" s="25"/>
      <c r="C10" s="25"/>
      <c r="D10" s="63"/>
      <c r="E10" s="25"/>
      <c r="F10" s="25"/>
      <c r="G10" s="63"/>
      <c r="H10" s="25"/>
      <c r="I10" s="25"/>
      <c r="J10" s="26"/>
      <c r="K10" s="26"/>
      <c r="L10" s="26"/>
      <c r="M10" s="26"/>
      <c r="N10" s="26"/>
      <c r="O10" s="26"/>
      <c r="P10" s="26"/>
      <c r="Q10" s="26"/>
    </row>
    <row r="11" spans="1:19" x14ac:dyDescent="0.3">
      <c r="B11" s="25"/>
      <c r="C11" s="25"/>
      <c r="D11" s="63"/>
      <c r="E11" s="25"/>
      <c r="F11" s="25"/>
      <c r="G11" s="63"/>
      <c r="H11" s="25"/>
      <c r="I11" s="25"/>
      <c r="J11" s="26"/>
      <c r="K11" s="26"/>
      <c r="L11" s="26"/>
      <c r="M11" s="26"/>
      <c r="N11" s="26"/>
      <c r="O11" s="26"/>
      <c r="P11" s="26"/>
      <c r="Q11" s="26"/>
    </row>
    <row r="12" spans="1:19" x14ac:dyDescent="0.3">
      <c r="B12" s="25"/>
      <c r="C12" s="25"/>
      <c r="D12" s="63"/>
      <c r="E12" s="25"/>
      <c r="F12" s="25"/>
      <c r="G12" s="63"/>
      <c r="H12" s="25"/>
      <c r="I12" s="25"/>
      <c r="J12" s="26"/>
      <c r="K12" s="26"/>
      <c r="L12" s="26"/>
      <c r="M12" s="26"/>
      <c r="N12" s="26"/>
      <c r="O12" s="26"/>
      <c r="P12" s="26"/>
      <c r="Q12" s="26"/>
    </row>
    <row r="13" spans="1:19" x14ac:dyDescent="0.3">
      <c r="B13" s="25"/>
      <c r="C13" s="25"/>
      <c r="D13" s="63"/>
      <c r="E13" s="25"/>
      <c r="F13" s="25"/>
      <c r="G13" s="63"/>
      <c r="H13" s="25"/>
      <c r="I13" s="25"/>
      <c r="J13" s="26"/>
      <c r="K13" s="26"/>
      <c r="L13" s="26"/>
      <c r="M13" s="26"/>
      <c r="N13" s="26"/>
      <c r="O13" s="26"/>
      <c r="P13" s="26"/>
      <c r="Q13" s="26"/>
    </row>
    <row r="14" spans="1:19" x14ac:dyDescent="0.3">
      <c r="B14" s="25"/>
      <c r="C14" s="25"/>
      <c r="D14" s="63"/>
      <c r="E14" s="25"/>
      <c r="F14" s="25"/>
      <c r="G14" s="63"/>
      <c r="H14" s="25"/>
      <c r="I14" s="25"/>
      <c r="J14" s="26"/>
      <c r="K14" s="26"/>
      <c r="L14" s="26"/>
      <c r="M14" s="26"/>
      <c r="N14" s="26"/>
      <c r="O14" s="26"/>
      <c r="P14" s="26"/>
      <c r="Q14" s="26"/>
    </row>
    <row r="15" spans="1:19" x14ac:dyDescent="0.3">
      <c r="B15" s="25"/>
      <c r="C15" s="25"/>
      <c r="D15" s="63"/>
      <c r="E15" s="25"/>
      <c r="F15" s="25"/>
      <c r="G15" s="63"/>
      <c r="H15" s="25"/>
      <c r="I15" s="25"/>
      <c r="J15" s="26"/>
      <c r="K15" s="26"/>
      <c r="L15" s="26"/>
      <c r="M15" s="26"/>
      <c r="N15" s="26"/>
      <c r="O15" s="26"/>
      <c r="P15" s="26"/>
      <c r="Q15" s="26"/>
    </row>
    <row r="16" spans="1:19" x14ac:dyDescent="0.3">
      <c r="B16" s="25"/>
      <c r="C16" s="25"/>
      <c r="D16" s="63"/>
      <c r="E16" s="25"/>
      <c r="F16" s="25"/>
      <c r="G16" s="63"/>
      <c r="H16" s="25"/>
      <c r="I16" s="25"/>
      <c r="J16" s="26"/>
      <c r="K16" s="26"/>
      <c r="L16" s="26"/>
      <c r="M16" s="26"/>
      <c r="N16" s="26"/>
      <c r="O16" s="26"/>
      <c r="P16" s="26"/>
      <c r="Q16" s="26"/>
    </row>
    <row r="17" spans="2:17" x14ac:dyDescent="0.3">
      <c r="B17" s="25"/>
      <c r="C17" s="25"/>
      <c r="D17" s="63"/>
      <c r="E17" s="25"/>
      <c r="F17" s="25"/>
      <c r="G17" s="63"/>
      <c r="H17" s="25"/>
      <c r="I17" s="25"/>
      <c r="J17" s="26"/>
      <c r="K17" s="26"/>
      <c r="L17" s="26"/>
      <c r="M17" s="26"/>
      <c r="N17" s="26"/>
      <c r="O17" s="26"/>
      <c r="P17" s="26"/>
      <c r="Q17" s="26"/>
    </row>
    <row r="18" spans="2:17" x14ac:dyDescent="0.3">
      <c r="B18" s="25"/>
      <c r="C18" s="25"/>
      <c r="D18" s="63"/>
      <c r="E18" s="25"/>
      <c r="F18" s="25"/>
      <c r="G18" s="63"/>
      <c r="H18" s="25"/>
      <c r="I18" s="25"/>
      <c r="J18" s="26"/>
      <c r="K18" s="26"/>
      <c r="L18" s="26"/>
      <c r="M18" s="26"/>
      <c r="N18" s="26"/>
      <c r="O18" s="26"/>
      <c r="P18" s="26"/>
      <c r="Q18" s="26"/>
    </row>
    <row r="19" spans="2:17" x14ac:dyDescent="0.3">
      <c r="B19" s="25"/>
      <c r="C19" s="25"/>
      <c r="D19" s="63"/>
      <c r="E19" s="25"/>
      <c r="F19" s="25"/>
      <c r="G19" s="63"/>
      <c r="H19" s="25"/>
      <c r="I19" s="25"/>
      <c r="J19" s="26"/>
      <c r="K19" s="26"/>
      <c r="L19" s="26"/>
      <c r="M19" s="26"/>
      <c r="N19" s="26"/>
      <c r="O19" s="26"/>
      <c r="P19" s="26"/>
      <c r="Q19" s="26"/>
    </row>
    <row r="20" spans="2:17" x14ac:dyDescent="0.3">
      <c r="B20" s="25"/>
      <c r="C20" s="25"/>
      <c r="D20" s="63"/>
      <c r="E20" s="25"/>
      <c r="F20" s="25"/>
      <c r="G20" s="63"/>
      <c r="H20" s="25"/>
      <c r="I20" s="25"/>
      <c r="J20" s="26"/>
      <c r="K20" s="26"/>
      <c r="L20" s="26"/>
      <c r="M20" s="26"/>
      <c r="N20" s="26"/>
      <c r="O20" s="26"/>
      <c r="P20" s="26"/>
      <c r="Q20" s="26"/>
    </row>
    <row r="21" spans="2:17" x14ac:dyDescent="0.3">
      <c r="B21" s="25"/>
      <c r="C21" s="25"/>
      <c r="D21" s="63"/>
      <c r="E21" s="25"/>
      <c r="F21" s="25"/>
      <c r="G21" s="63"/>
      <c r="H21" s="25"/>
      <c r="I21" s="25"/>
      <c r="J21" s="26"/>
      <c r="K21" s="26"/>
      <c r="L21" s="26"/>
      <c r="M21" s="26"/>
      <c r="N21" s="26"/>
      <c r="O21" s="26"/>
      <c r="P21" s="26"/>
      <c r="Q21" s="26"/>
    </row>
    <row r="22" spans="2:17" x14ac:dyDescent="0.3">
      <c r="B22" s="25"/>
      <c r="C22" s="25"/>
      <c r="D22" s="63"/>
      <c r="E22" s="25"/>
      <c r="F22" s="25"/>
      <c r="G22" s="63"/>
      <c r="H22" s="25"/>
      <c r="I22" s="25"/>
      <c r="J22" s="26"/>
      <c r="K22" s="26"/>
      <c r="L22" s="26"/>
      <c r="M22" s="26"/>
      <c r="N22" s="26"/>
      <c r="O22" s="26"/>
      <c r="P22" s="26"/>
      <c r="Q22" s="26"/>
    </row>
    <row r="23" spans="2:17" x14ac:dyDescent="0.3">
      <c r="B23" s="25"/>
      <c r="C23" s="25"/>
      <c r="D23" s="63"/>
      <c r="E23" s="25"/>
      <c r="F23" s="25"/>
      <c r="G23" s="63"/>
      <c r="H23" s="25"/>
      <c r="I23" s="25"/>
      <c r="J23" s="26"/>
      <c r="K23" s="26"/>
      <c r="L23" s="26"/>
      <c r="M23" s="26"/>
      <c r="N23" s="26"/>
      <c r="O23" s="26"/>
      <c r="P23" s="26"/>
      <c r="Q23" s="26"/>
    </row>
    <row r="24" spans="2:17" x14ac:dyDescent="0.3">
      <c r="B24" s="25"/>
      <c r="C24" s="25"/>
      <c r="D24" s="63"/>
      <c r="E24" s="25"/>
      <c r="F24" s="25"/>
      <c r="G24" s="63"/>
      <c r="H24" s="25"/>
      <c r="I24" s="25"/>
      <c r="J24" s="26"/>
      <c r="K24" s="26"/>
      <c r="L24" s="26"/>
      <c r="M24" s="26"/>
      <c r="N24" s="26"/>
      <c r="O24" s="26"/>
      <c r="P24" s="26"/>
      <c r="Q24" s="26"/>
    </row>
    <row r="25" spans="2:17" x14ac:dyDescent="0.3">
      <c r="B25" s="25"/>
      <c r="C25" s="25"/>
      <c r="D25" s="63"/>
      <c r="E25" s="25"/>
      <c r="F25" s="25"/>
      <c r="G25" s="63"/>
      <c r="H25" s="25"/>
      <c r="I25" s="25"/>
      <c r="J25" s="26"/>
      <c r="K25" s="26"/>
      <c r="L25" s="26"/>
      <c r="M25" s="26"/>
      <c r="N25" s="26"/>
      <c r="O25" s="26"/>
      <c r="P25" s="26"/>
      <c r="Q25" s="26"/>
    </row>
    <row r="26" spans="2:17" x14ac:dyDescent="0.3">
      <c r="B26" s="25"/>
      <c r="C26" s="25"/>
      <c r="D26" s="63"/>
      <c r="E26" s="25"/>
      <c r="F26" s="25"/>
      <c r="G26" s="63"/>
      <c r="H26" s="25"/>
      <c r="I26" s="25"/>
      <c r="J26" s="26"/>
      <c r="K26" s="26"/>
      <c r="L26" s="26"/>
      <c r="M26" s="26"/>
      <c r="N26" s="26"/>
      <c r="O26" s="26"/>
      <c r="P26" s="26"/>
      <c r="Q26" s="26"/>
    </row>
    <row r="27" spans="2:17" x14ac:dyDescent="0.3">
      <c r="B27" s="25"/>
      <c r="C27" s="25"/>
      <c r="D27" s="63"/>
      <c r="E27" s="25"/>
      <c r="F27" s="25"/>
      <c r="G27" s="63"/>
      <c r="H27" s="25"/>
      <c r="I27" s="25"/>
      <c r="J27" s="26"/>
      <c r="K27" s="26"/>
      <c r="L27" s="26"/>
      <c r="M27" s="26"/>
      <c r="N27" s="26"/>
      <c r="O27" s="26"/>
      <c r="P27" s="26"/>
      <c r="Q27" s="26"/>
    </row>
    <row r="28" spans="2:17" x14ac:dyDescent="0.3">
      <c r="B28" s="25"/>
      <c r="C28" s="25"/>
      <c r="D28" s="63"/>
      <c r="E28" s="25"/>
      <c r="F28" s="25"/>
      <c r="G28" s="63"/>
      <c r="H28" s="25"/>
      <c r="I28" s="25"/>
      <c r="J28" s="26"/>
      <c r="K28" s="26"/>
      <c r="L28" s="26"/>
      <c r="M28" s="26"/>
      <c r="N28" s="26"/>
      <c r="O28" s="26"/>
      <c r="P28" s="26"/>
      <c r="Q28" s="26"/>
    </row>
    <row r="29" spans="2:17" x14ac:dyDescent="0.3">
      <c r="B29" s="25"/>
      <c r="C29" s="25"/>
      <c r="D29" s="63"/>
      <c r="E29" s="25"/>
      <c r="F29" s="25"/>
      <c r="G29" s="63"/>
      <c r="H29" s="25"/>
      <c r="I29" s="25"/>
      <c r="J29" s="26"/>
      <c r="K29" s="26"/>
      <c r="L29" s="26"/>
      <c r="M29" s="26"/>
      <c r="N29" s="26"/>
      <c r="O29" s="26"/>
      <c r="P29" s="26"/>
      <c r="Q29" s="26"/>
    </row>
    <row r="30" spans="2:17" x14ac:dyDescent="0.3">
      <c r="B30" s="25"/>
      <c r="C30" s="25"/>
      <c r="D30" s="63"/>
      <c r="E30" s="25"/>
      <c r="F30" s="25"/>
      <c r="G30" s="63"/>
      <c r="H30" s="25"/>
      <c r="I30" s="25"/>
      <c r="J30" s="26"/>
      <c r="K30" s="26"/>
      <c r="L30" s="26"/>
      <c r="M30" s="26"/>
      <c r="N30" s="26"/>
      <c r="O30" s="26"/>
      <c r="P30" s="26"/>
      <c r="Q30" s="26"/>
    </row>
    <row r="31" spans="2:17" x14ac:dyDescent="0.3">
      <c r="B31" s="25"/>
      <c r="C31" s="25"/>
      <c r="D31" s="63"/>
      <c r="E31" s="25"/>
      <c r="F31" s="25"/>
      <c r="G31" s="63"/>
      <c r="H31" s="25"/>
      <c r="I31" s="25"/>
      <c r="J31" s="26"/>
      <c r="K31" s="26"/>
      <c r="L31" s="26"/>
      <c r="M31" s="26"/>
      <c r="N31" s="26"/>
      <c r="O31" s="26"/>
      <c r="P31" s="26"/>
      <c r="Q31" s="26"/>
    </row>
    <row r="32" spans="2:17" x14ac:dyDescent="0.3">
      <c r="B32" s="25"/>
      <c r="C32" s="25"/>
      <c r="D32" s="63"/>
      <c r="E32" s="25"/>
      <c r="F32" s="25"/>
      <c r="G32" s="63"/>
      <c r="H32" s="25"/>
      <c r="I32" s="25"/>
      <c r="J32" s="26"/>
      <c r="K32" s="26"/>
      <c r="L32" s="26"/>
      <c r="M32" s="26"/>
      <c r="N32" s="26"/>
      <c r="O32" s="26"/>
      <c r="P32" s="26"/>
      <c r="Q32" s="26"/>
    </row>
    <row r="33" spans="2:17" x14ac:dyDescent="0.3">
      <c r="B33" s="25"/>
      <c r="C33" s="25"/>
      <c r="D33" s="63"/>
      <c r="E33" s="25"/>
      <c r="F33" s="25"/>
      <c r="G33" s="63"/>
      <c r="H33" s="25"/>
      <c r="I33" s="25"/>
      <c r="J33" s="26"/>
      <c r="K33" s="26"/>
      <c r="L33" s="26"/>
      <c r="M33" s="26"/>
      <c r="N33" s="26"/>
      <c r="O33" s="26"/>
      <c r="P33" s="26"/>
      <c r="Q33" s="26"/>
    </row>
    <row r="34" spans="2:17" x14ac:dyDescent="0.3">
      <c r="B34" s="25"/>
      <c r="C34" s="25"/>
      <c r="D34" s="63"/>
      <c r="E34" s="25"/>
      <c r="F34" s="25"/>
      <c r="G34" s="63"/>
      <c r="H34" s="25"/>
      <c r="I34" s="25"/>
      <c r="J34" s="26"/>
      <c r="K34" s="26"/>
      <c r="L34" s="26"/>
      <c r="M34" s="26"/>
      <c r="N34" s="26"/>
      <c r="O34" s="26"/>
      <c r="P34" s="26"/>
      <c r="Q34" s="26"/>
    </row>
    <row r="35" spans="2:17" x14ac:dyDescent="0.3">
      <c r="B35" s="25"/>
      <c r="C35" s="25"/>
      <c r="D35" s="63"/>
      <c r="E35" s="25"/>
      <c r="F35" s="25"/>
      <c r="G35" s="63"/>
      <c r="H35" s="25"/>
      <c r="I35" s="25"/>
      <c r="J35" s="26"/>
      <c r="K35" s="26"/>
      <c r="L35" s="26"/>
      <c r="M35" s="26"/>
      <c r="N35" s="26"/>
      <c r="O35" s="26"/>
      <c r="P35" s="26"/>
      <c r="Q35" s="26"/>
    </row>
    <row r="36" spans="2:17" x14ac:dyDescent="0.3">
      <c r="B36" s="25"/>
      <c r="C36" s="25"/>
      <c r="D36" s="63"/>
      <c r="E36" s="25"/>
      <c r="F36" s="25"/>
      <c r="G36" s="63"/>
      <c r="H36" s="25"/>
      <c r="I36" s="25"/>
      <c r="J36" s="26"/>
      <c r="K36" s="26"/>
      <c r="L36" s="26"/>
      <c r="M36" s="26"/>
      <c r="N36" s="26"/>
      <c r="O36" s="26"/>
      <c r="P36" s="26"/>
      <c r="Q36" s="26"/>
    </row>
    <row r="37" spans="2:17" x14ac:dyDescent="0.3">
      <c r="B37" s="25"/>
      <c r="C37" s="25"/>
      <c r="D37" s="63"/>
      <c r="E37" s="25"/>
      <c r="F37" s="25"/>
      <c r="G37" s="63"/>
      <c r="H37" s="25"/>
      <c r="I37" s="25"/>
      <c r="J37" s="26"/>
      <c r="K37" s="26"/>
      <c r="L37" s="26"/>
      <c r="M37" s="26"/>
      <c r="N37" s="26"/>
      <c r="O37" s="26"/>
      <c r="P37" s="26"/>
      <c r="Q37" s="26"/>
    </row>
    <row r="38" spans="2:17" x14ac:dyDescent="0.3">
      <c r="B38" s="25"/>
      <c r="C38" s="25"/>
      <c r="D38" s="63"/>
      <c r="E38" s="25"/>
      <c r="F38" s="25"/>
      <c r="G38" s="63"/>
      <c r="H38" s="25"/>
      <c r="I38" s="25"/>
      <c r="J38" s="26"/>
      <c r="K38" s="26"/>
      <c r="L38" s="26"/>
      <c r="M38" s="26"/>
      <c r="N38" s="26"/>
      <c r="O38" s="26"/>
      <c r="P38" s="26"/>
      <c r="Q38" s="26"/>
    </row>
    <row r="39" spans="2:17" x14ac:dyDescent="0.3">
      <c r="B39" s="25"/>
      <c r="C39" s="25"/>
      <c r="D39" s="63"/>
      <c r="E39" s="25"/>
      <c r="F39" s="25"/>
      <c r="G39" s="63"/>
      <c r="H39" s="25"/>
      <c r="I39" s="25"/>
      <c r="J39" s="26"/>
      <c r="K39" s="26"/>
      <c r="L39" s="26"/>
      <c r="M39" s="26"/>
      <c r="N39" s="26"/>
      <c r="O39" s="26"/>
      <c r="P39" s="26"/>
      <c r="Q39" s="26"/>
    </row>
    <row r="40" spans="2:17" x14ac:dyDescent="0.3">
      <c r="B40" s="25"/>
      <c r="C40" s="25"/>
      <c r="D40" s="63"/>
      <c r="E40" s="25"/>
      <c r="F40" s="25"/>
      <c r="G40" s="63"/>
      <c r="H40" s="25"/>
      <c r="I40" s="25"/>
      <c r="J40" s="26"/>
      <c r="K40" s="26"/>
      <c r="L40" s="26"/>
      <c r="M40" s="26"/>
      <c r="N40" s="26"/>
      <c r="O40" s="26"/>
      <c r="P40" s="26"/>
      <c r="Q40" s="26"/>
    </row>
    <row r="41" spans="2:17" x14ac:dyDescent="0.3">
      <c r="B41" s="25"/>
      <c r="C41" s="25"/>
      <c r="D41" s="63"/>
      <c r="E41" s="25"/>
      <c r="F41" s="25"/>
      <c r="G41" s="63"/>
      <c r="H41" s="25"/>
      <c r="I41" s="25"/>
      <c r="J41" s="26"/>
      <c r="K41" s="26"/>
      <c r="L41" s="26"/>
      <c r="M41" s="26"/>
      <c r="N41" s="26"/>
      <c r="O41" s="26"/>
      <c r="P41" s="26"/>
      <c r="Q41" s="26"/>
    </row>
    <row r="42" spans="2:17" x14ac:dyDescent="0.3">
      <c r="B42" s="25"/>
      <c r="C42" s="25"/>
      <c r="D42" s="63"/>
      <c r="E42" s="25"/>
      <c r="F42" s="25"/>
      <c r="G42" s="63"/>
      <c r="H42" s="25"/>
      <c r="I42" s="25"/>
      <c r="J42" s="26"/>
      <c r="K42" s="26"/>
      <c r="L42" s="26"/>
      <c r="M42" s="26"/>
      <c r="N42" s="26"/>
      <c r="O42" s="26"/>
      <c r="P42" s="26"/>
      <c r="Q42" s="26"/>
    </row>
    <row r="43" spans="2:17" x14ac:dyDescent="0.3">
      <c r="B43" s="25"/>
      <c r="C43" s="25"/>
      <c r="D43" s="63"/>
      <c r="E43" s="25"/>
      <c r="F43" s="25"/>
      <c r="G43" s="63"/>
      <c r="H43" s="25"/>
      <c r="I43" s="25"/>
      <c r="J43" s="26"/>
      <c r="K43" s="26"/>
      <c r="L43" s="26"/>
      <c r="M43" s="26"/>
      <c r="N43" s="26"/>
      <c r="O43" s="26"/>
      <c r="P43" s="26"/>
      <c r="Q43" s="26"/>
    </row>
    <row r="44" spans="2:17" x14ac:dyDescent="0.3">
      <c r="B44" s="25"/>
      <c r="C44" s="25"/>
      <c r="D44" s="63"/>
      <c r="E44" s="25"/>
      <c r="F44" s="25"/>
      <c r="G44" s="63"/>
      <c r="H44" s="25"/>
      <c r="I44" s="25"/>
      <c r="J44" s="26"/>
      <c r="K44" s="26"/>
      <c r="L44" s="26"/>
      <c r="M44" s="26"/>
      <c r="N44" s="26"/>
      <c r="O44" s="26"/>
      <c r="P44" s="26"/>
      <c r="Q44" s="26"/>
    </row>
    <row r="45" spans="2:17" x14ac:dyDescent="0.3">
      <c r="B45" s="25"/>
      <c r="C45" s="25"/>
      <c r="D45" s="63"/>
      <c r="E45" s="25"/>
      <c r="F45" s="25"/>
      <c r="G45" s="63"/>
      <c r="H45" s="25"/>
      <c r="I45" s="25"/>
      <c r="J45" s="26"/>
      <c r="K45" s="26"/>
      <c r="L45" s="26"/>
      <c r="M45" s="26"/>
      <c r="N45" s="26"/>
      <c r="O45" s="26"/>
      <c r="P45" s="26"/>
      <c r="Q45" s="26"/>
    </row>
    <row r="46" spans="2:17" x14ac:dyDescent="0.3">
      <c r="B46" s="25"/>
      <c r="C46" s="25"/>
      <c r="D46" s="63"/>
      <c r="E46" s="25"/>
      <c r="F46" s="25"/>
      <c r="G46" s="63"/>
      <c r="H46" s="25"/>
      <c r="I46" s="25"/>
      <c r="J46" s="26"/>
      <c r="K46" s="26"/>
      <c r="L46" s="26"/>
      <c r="M46" s="26"/>
      <c r="N46" s="26"/>
      <c r="O46" s="26"/>
      <c r="P46" s="26"/>
      <c r="Q46" s="26"/>
    </row>
    <row r="47" spans="2:17" x14ac:dyDescent="0.3">
      <c r="B47" s="25"/>
      <c r="C47" s="25"/>
      <c r="D47" s="63"/>
      <c r="E47" s="25"/>
      <c r="F47" s="25"/>
      <c r="G47" s="63"/>
      <c r="H47" s="25"/>
      <c r="I47" s="25"/>
      <c r="J47" s="26"/>
      <c r="K47" s="26"/>
      <c r="L47" s="26"/>
      <c r="M47" s="26"/>
      <c r="N47" s="26"/>
      <c r="O47" s="26"/>
      <c r="P47" s="26"/>
      <c r="Q47" s="26"/>
    </row>
    <row r="48" spans="2:17" x14ac:dyDescent="0.3">
      <c r="B48" s="25"/>
      <c r="C48" s="25"/>
      <c r="D48" s="63"/>
      <c r="E48" s="25"/>
      <c r="F48" s="25"/>
      <c r="G48" s="63"/>
      <c r="H48" s="25"/>
      <c r="I48" s="25"/>
      <c r="J48" s="26"/>
      <c r="K48" s="26"/>
      <c r="L48" s="26"/>
      <c r="M48" s="26"/>
      <c r="N48" s="26"/>
      <c r="O48" s="26"/>
      <c r="P48" s="26"/>
      <c r="Q48" s="26"/>
    </row>
    <row r="49" spans="2:17" x14ac:dyDescent="0.3">
      <c r="B49" s="25"/>
      <c r="C49" s="25"/>
      <c r="D49" s="63"/>
      <c r="E49" s="25"/>
      <c r="F49" s="25"/>
      <c r="G49" s="63"/>
      <c r="H49" s="25"/>
      <c r="I49" s="25"/>
      <c r="J49" s="26"/>
      <c r="K49" s="26"/>
      <c r="L49" s="26"/>
      <c r="M49" s="26"/>
      <c r="N49" s="26"/>
      <c r="O49" s="26"/>
      <c r="P49" s="26"/>
      <c r="Q49" s="26"/>
    </row>
    <row r="50" spans="2:17" x14ac:dyDescent="0.3">
      <c r="B50" s="25"/>
      <c r="C50" s="25"/>
      <c r="D50" s="63"/>
      <c r="E50" s="25"/>
      <c r="F50" s="25"/>
      <c r="G50" s="63"/>
      <c r="H50" s="25"/>
      <c r="I50" s="25"/>
      <c r="J50" s="26"/>
      <c r="K50" s="26"/>
      <c r="L50" s="26"/>
      <c r="M50" s="26"/>
      <c r="N50" s="26"/>
      <c r="O50" s="26"/>
      <c r="P50" s="26"/>
      <c r="Q50" s="26"/>
    </row>
    <row r="51" spans="2:17" x14ac:dyDescent="0.3">
      <c r="B51" s="25"/>
      <c r="C51" s="25"/>
      <c r="D51" s="63"/>
      <c r="E51" s="25"/>
      <c r="F51" s="25"/>
      <c r="G51" s="63"/>
      <c r="H51" s="25"/>
      <c r="I51" s="25"/>
      <c r="J51" s="26"/>
      <c r="K51" s="26"/>
      <c r="L51" s="26"/>
      <c r="M51" s="26"/>
      <c r="N51" s="26"/>
      <c r="O51" s="26"/>
      <c r="P51" s="26"/>
      <c r="Q51" s="26"/>
    </row>
    <row r="52" spans="2:17" x14ac:dyDescent="0.3">
      <c r="B52" s="25"/>
      <c r="C52" s="25"/>
      <c r="D52" s="63"/>
      <c r="E52" s="25"/>
      <c r="F52" s="25"/>
      <c r="G52" s="63"/>
      <c r="H52" s="25"/>
      <c r="I52" s="25"/>
      <c r="J52" s="26"/>
      <c r="K52" s="26"/>
      <c r="L52" s="26"/>
      <c r="M52" s="26"/>
      <c r="N52" s="26"/>
      <c r="O52" s="26"/>
      <c r="P52" s="26"/>
      <c r="Q52" s="26"/>
    </row>
    <row r="53" spans="2:17" x14ac:dyDescent="0.3">
      <c r="B53" s="25"/>
      <c r="C53" s="25"/>
      <c r="D53" s="63"/>
      <c r="E53" s="25"/>
      <c r="F53" s="25"/>
      <c r="G53" s="63"/>
      <c r="H53" s="25"/>
      <c r="I53" s="25"/>
      <c r="J53" s="26"/>
      <c r="K53" s="26"/>
      <c r="L53" s="26"/>
      <c r="M53" s="26"/>
      <c r="N53" s="26"/>
      <c r="O53" s="26"/>
      <c r="P53" s="26"/>
      <c r="Q53" s="26"/>
    </row>
    <row r="54" spans="2:17" x14ac:dyDescent="0.3">
      <c r="B54" s="25"/>
      <c r="C54" s="25"/>
      <c r="D54" s="63"/>
      <c r="E54" s="25"/>
      <c r="F54" s="25"/>
      <c r="G54" s="63"/>
      <c r="H54" s="25"/>
      <c r="I54" s="25"/>
      <c r="J54" s="26"/>
      <c r="K54" s="26"/>
      <c r="L54" s="26"/>
      <c r="M54" s="26"/>
      <c r="N54" s="26"/>
      <c r="O54" s="26"/>
      <c r="P54" s="26"/>
      <c r="Q54" s="26"/>
    </row>
    <row r="55" spans="2:17" x14ac:dyDescent="0.3">
      <c r="B55" s="25"/>
      <c r="C55" s="25"/>
      <c r="D55" s="63"/>
      <c r="E55" s="25"/>
      <c r="F55" s="25"/>
      <c r="G55" s="63"/>
      <c r="H55" s="25"/>
      <c r="I55" s="25"/>
      <c r="J55" s="26"/>
      <c r="K55" s="26"/>
      <c r="L55" s="26"/>
      <c r="M55" s="26"/>
      <c r="N55" s="26"/>
      <c r="O55" s="26"/>
      <c r="P55" s="26"/>
      <c r="Q55" s="26"/>
    </row>
    <row r="56" spans="2:17" x14ac:dyDescent="0.3">
      <c r="B56" s="25"/>
      <c r="C56" s="25"/>
      <c r="D56" s="63"/>
      <c r="E56" s="25"/>
      <c r="F56" s="25"/>
      <c r="G56" s="63"/>
      <c r="H56" s="25"/>
      <c r="I56" s="25"/>
      <c r="J56" s="26"/>
      <c r="K56" s="26"/>
      <c r="L56" s="26"/>
      <c r="M56" s="26"/>
      <c r="N56" s="26"/>
      <c r="O56" s="26"/>
      <c r="P56" s="26"/>
      <c r="Q56" s="26"/>
    </row>
    <row r="57" spans="2:17" x14ac:dyDescent="0.3">
      <c r="B57" s="25"/>
      <c r="C57" s="25"/>
      <c r="D57" s="63"/>
      <c r="E57" s="25"/>
      <c r="F57" s="25"/>
      <c r="G57" s="63"/>
      <c r="H57" s="25"/>
      <c r="I57" s="25"/>
      <c r="J57" s="26"/>
      <c r="K57" s="26"/>
      <c r="L57" s="26"/>
      <c r="M57" s="26"/>
      <c r="N57" s="26"/>
      <c r="O57" s="26"/>
      <c r="P57" s="26"/>
      <c r="Q57" s="26"/>
    </row>
    <row r="58" spans="2:17" x14ac:dyDescent="0.3">
      <c r="B58" s="25"/>
      <c r="C58" s="25"/>
      <c r="D58" s="63"/>
      <c r="E58" s="25"/>
      <c r="F58" s="25"/>
      <c r="G58" s="63"/>
      <c r="H58" s="25"/>
      <c r="I58" s="25"/>
      <c r="J58" s="26"/>
      <c r="K58" s="26"/>
      <c r="L58" s="26"/>
      <c r="M58" s="26"/>
      <c r="N58" s="26"/>
      <c r="O58" s="26"/>
      <c r="P58" s="26"/>
      <c r="Q58" s="26"/>
    </row>
    <row r="59" spans="2:17" x14ac:dyDescent="0.3">
      <c r="B59" s="25"/>
      <c r="C59" s="25"/>
      <c r="D59" s="63"/>
      <c r="E59" s="25"/>
      <c r="F59" s="25"/>
      <c r="G59" s="63"/>
      <c r="H59" s="25"/>
      <c r="I59" s="25"/>
      <c r="J59" s="26"/>
      <c r="K59" s="26"/>
      <c r="L59" s="26"/>
      <c r="M59" s="26"/>
      <c r="N59" s="26"/>
      <c r="O59" s="26"/>
      <c r="P59" s="26"/>
      <c r="Q59" s="26"/>
    </row>
    <row r="60" spans="2:17" x14ac:dyDescent="0.3">
      <c r="B60" s="25"/>
      <c r="C60" s="25"/>
      <c r="D60" s="63"/>
      <c r="E60" s="25"/>
      <c r="F60" s="25"/>
      <c r="G60" s="63"/>
      <c r="H60" s="25"/>
      <c r="I60" s="25"/>
      <c r="J60" s="26"/>
      <c r="K60" s="26"/>
      <c r="L60" s="26"/>
      <c r="M60" s="26"/>
      <c r="N60" s="26"/>
      <c r="O60" s="26"/>
      <c r="P60" s="26"/>
      <c r="Q60" s="26"/>
    </row>
    <row r="61" spans="2:17" x14ac:dyDescent="0.3">
      <c r="B61" s="25"/>
      <c r="C61" s="25"/>
      <c r="D61" s="63"/>
      <c r="E61" s="25"/>
      <c r="F61" s="25"/>
      <c r="G61" s="63"/>
      <c r="H61" s="25"/>
      <c r="I61" s="25"/>
      <c r="J61" s="26"/>
      <c r="K61" s="26"/>
      <c r="L61" s="26"/>
      <c r="M61" s="26"/>
      <c r="N61" s="26"/>
      <c r="O61" s="26"/>
      <c r="P61" s="26"/>
      <c r="Q61" s="26"/>
    </row>
    <row r="62" spans="2:17" x14ac:dyDescent="0.3">
      <c r="B62" s="25"/>
      <c r="C62" s="25"/>
      <c r="D62" s="63"/>
      <c r="E62" s="25"/>
      <c r="F62" s="25"/>
      <c r="G62" s="63"/>
      <c r="H62" s="25"/>
      <c r="I62" s="25"/>
      <c r="J62" s="26"/>
      <c r="K62" s="26"/>
      <c r="L62" s="26"/>
      <c r="M62" s="26"/>
      <c r="N62" s="26"/>
      <c r="O62" s="26"/>
      <c r="P62" s="26"/>
      <c r="Q62" s="26"/>
    </row>
    <row r="63" spans="2:17" x14ac:dyDescent="0.3">
      <c r="B63" s="25"/>
      <c r="C63" s="25"/>
      <c r="D63" s="63"/>
      <c r="E63" s="25"/>
      <c r="F63" s="25"/>
      <c r="G63" s="63"/>
      <c r="H63" s="25"/>
      <c r="I63" s="25"/>
      <c r="J63" s="26"/>
      <c r="K63" s="26"/>
      <c r="L63" s="26"/>
      <c r="M63" s="26"/>
      <c r="N63" s="26"/>
      <c r="O63" s="26"/>
      <c r="P63" s="26"/>
      <c r="Q63" s="26"/>
    </row>
    <row r="64" spans="2:17" x14ac:dyDescent="0.3">
      <c r="B64" s="25"/>
      <c r="C64" s="25"/>
      <c r="D64" s="63"/>
      <c r="E64" s="25"/>
      <c r="F64" s="25"/>
      <c r="G64" s="63"/>
      <c r="H64" s="25"/>
      <c r="I64" s="25"/>
      <c r="J64" s="26"/>
      <c r="K64" s="26"/>
      <c r="L64" s="26"/>
      <c r="M64" s="26"/>
      <c r="N64" s="26"/>
      <c r="O64" s="26"/>
      <c r="P64" s="26"/>
      <c r="Q64" s="26"/>
    </row>
    <row r="65" spans="2:17" x14ac:dyDescent="0.3">
      <c r="B65" s="25"/>
      <c r="C65" s="25"/>
      <c r="D65" s="63"/>
      <c r="E65" s="25"/>
      <c r="F65" s="25"/>
      <c r="G65" s="63"/>
      <c r="H65" s="25"/>
      <c r="I65" s="25"/>
      <c r="J65" s="26"/>
      <c r="K65" s="26"/>
      <c r="L65" s="26"/>
      <c r="M65" s="26"/>
      <c r="N65" s="26"/>
      <c r="O65" s="26"/>
      <c r="P65" s="26"/>
      <c r="Q65" s="26"/>
    </row>
    <row r="66" spans="2:17" x14ac:dyDescent="0.3">
      <c r="B66" s="25"/>
      <c r="C66" s="25"/>
      <c r="D66" s="63"/>
      <c r="E66" s="25"/>
      <c r="F66" s="25"/>
      <c r="G66" s="63"/>
      <c r="H66" s="25"/>
      <c r="I66" s="25"/>
      <c r="J66" s="26"/>
      <c r="K66" s="26"/>
      <c r="L66" s="26"/>
      <c r="M66" s="26"/>
      <c r="N66" s="26"/>
      <c r="O66" s="26"/>
      <c r="P66" s="26"/>
      <c r="Q66" s="26"/>
    </row>
    <row r="67" spans="2:17" x14ac:dyDescent="0.3">
      <c r="B67" s="25"/>
      <c r="C67" s="25"/>
      <c r="D67" s="63"/>
      <c r="E67" s="25"/>
      <c r="F67" s="25"/>
      <c r="G67" s="63"/>
      <c r="H67" s="25"/>
      <c r="I67" s="25"/>
      <c r="J67" s="26"/>
      <c r="K67" s="26"/>
      <c r="L67" s="26"/>
      <c r="M67" s="26"/>
      <c r="N67" s="26"/>
      <c r="O67" s="26"/>
      <c r="P67" s="26"/>
      <c r="Q67" s="26"/>
    </row>
    <row r="68" spans="2:17" x14ac:dyDescent="0.3">
      <c r="B68" s="25"/>
      <c r="C68" s="25"/>
      <c r="D68" s="63"/>
      <c r="E68" s="25"/>
      <c r="F68" s="25"/>
      <c r="G68" s="63"/>
      <c r="H68" s="25"/>
      <c r="I68" s="25"/>
      <c r="J68" s="26"/>
      <c r="K68" s="26"/>
      <c r="L68" s="26"/>
      <c r="M68" s="26"/>
      <c r="N68" s="26"/>
      <c r="O68" s="26"/>
      <c r="P68" s="26"/>
      <c r="Q68" s="26"/>
    </row>
    <row r="69" spans="2:17" x14ac:dyDescent="0.3">
      <c r="B69" s="25"/>
      <c r="C69" s="25"/>
      <c r="D69" s="63"/>
      <c r="E69" s="25"/>
      <c r="F69" s="25"/>
      <c r="G69" s="63"/>
      <c r="H69" s="25"/>
      <c r="I69" s="25"/>
      <c r="J69" s="26"/>
      <c r="K69" s="26"/>
      <c r="L69" s="26"/>
      <c r="M69" s="26"/>
      <c r="N69" s="26"/>
      <c r="O69" s="26"/>
      <c r="P69" s="26"/>
      <c r="Q69" s="26"/>
    </row>
    <row r="70" spans="2:17" x14ac:dyDescent="0.3">
      <c r="B70" s="25"/>
      <c r="C70" s="25"/>
      <c r="D70" s="63"/>
      <c r="E70" s="25"/>
      <c r="F70" s="25"/>
      <c r="G70" s="63"/>
      <c r="H70" s="25"/>
      <c r="I70" s="25"/>
      <c r="J70" s="26"/>
      <c r="K70" s="26"/>
      <c r="L70" s="26"/>
      <c r="M70" s="26"/>
      <c r="N70" s="26"/>
      <c r="O70" s="26"/>
      <c r="P70" s="26"/>
      <c r="Q70" s="26"/>
    </row>
    <row r="71" spans="2:17" x14ac:dyDescent="0.3">
      <c r="B71" s="25"/>
      <c r="C71" s="25"/>
      <c r="D71" s="63"/>
      <c r="E71" s="25"/>
      <c r="F71" s="25"/>
      <c r="G71" s="63"/>
      <c r="H71" s="25"/>
      <c r="I71" s="25"/>
      <c r="J71" s="26"/>
      <c r="K71" s="26"/>
      <c r="L71" s="26"/>
      <c r="M71" s="26"/>
      <c r="N71" s="26"/>
      <c r="O71" s="26"/>
      <c r="P71" s="26"/>
      <c r="Q71" s="26"/>
    </row>
    <row r="72" spans="2:17" x14ac:dyDescent="0.3">
      <c r="B72" s="25"/>
      <c r="C72" s="25"/>
      <c r="D72" s="63"/>
      <c r="E72" s="25"/>
      <c r="F72" s="25"/>
      <c r="G72" s="63"/>
      <c r="H72" s="25"/>
      <c r="I72" s="25"/>
      <c r="J72" s="26"/>
      <c r="K72" s="26"/>
      <c r="L72" s="26"/>
      <c r="M72" s="26"/>
      <c r="N72" s="26"/>
      <c r="O72" s="26"/>
      <c r="P72" s="26"/>
      <c r="Q72" s="26"/>
    </row>
    <row r="73" spans="2:17" x14ac:dyDescent="0.3">
      <c r="B73" s="25"/>
      <c r="C73" s="25"/>
      <c r="D73" s="63"/>
      <c r="E73" s="25"/>
      <c r="F73" s="25"/>
      <c r="G73" s="63"/>
      <c r="H73" s="25"/>
      <c r="I73" s="25"/>
      <c r="J73" s="26"/>
      <c r="K73" s="26"/>
      <c r="L73" s="26"/>
      <c r="M73" s="26"/>
      <c r="N73" s="26"/>
      <c r="O73" s="26"/>
      <c r="P73" s="26"/>
      <c r="Q73" s="26"/>
    </row>
    <row r="74" spans="2:17" x14ac:dyDescent="0.3">
      <c r="B74" s="25"/>
      <c r="C74" s="25"/>
      <c r="D74" s="63"/>
      <c r="E74" s="25"/>
      <c r="F74" s="25"/>
      <c r="G74" s="63"/>
      <c r="H74" s="25"/>
      <c r="I74" s="25"/>
      <c r="J74" s="26"/>
      <c r="K74" s="26"/>
      <c r="L74" s="26"/>
      <c r="M74" s="26"/>
      <c r="N74" s="26"/>
      <c r="O74" s="26"/>
      <c r="P74" s="26"/>
      <c r="Q74" s="26"/>
    </row>
    <row r="75" spans="2:17" x14ac:dyDescent="0.3">
      <c r="B75" s="25"/>
      <c r="C75" s="25"/>
      <c r="D75" s="63"/>
      <c r="E75" s="25"/>
      <c r="F75" s="25"/>
      <c r="G75" s="63"/>
      <c r="H75" s="25"/>
      <c r="I75" s="25"/>
      <c r="J75" s="26"/>
      <c r="K75" s="26"/>
      <c r="L75" s="26"/>
      <c r="M75" s="26"/>
      <c r="N75" s="26"/>
      <c r="O75" s="26"/>
      <c r="P75" s="26"/>
      <c r="Q75" s="26"/>
    </row>
    <row r="76" spans="2:17" x14ac:dyDescent="0.3">
      <c r="B76" s="25"/>
      <c r="C76" s="25"/>
      <c r="D76" s="63"/>
      <c r="E76" s="25"/>
      <c r="F76" s="25"/>
      <c r="G76" s="63"/>
      <c r="H76" s="25"/>
      <c r="I76" s="25"/>
      <c r="J76" s="26"/>
      <c r="K76" s="26"/>
      <c r="L76" s="26"/>
      <c r="M76" s="26"/>
      <c r="N76" s="26"/>
      <c r="O76" s="26"/>
      <c r="P76" s="26"/>
      <c r="Q76" s="26"/>
    </row>
    <row r="77" spans="2:17" x14ac:dyDescent="0.3">
      <c r="B77" s="25"/>
      <c r="C77" s="25"/>
      <c r="D77" s="63"/>
      <c r="E77" s="25"/>
      <c r="F77" s="25"/>
      <c r="G77" s="63"/>
      <c r="H77" s="25"/>
      <c r="I77" s="25"/>
      <c r="J77" s="26"/>
      <c r="K77" s="26"/>
      <c r="L77" s="26"/>
      <c r="M77" s="26"/>
      <c r="N77" s="26"/>
      <c r="O77" s="26"/>
      <c r="P77" s="26"/>
      <c r="Q77" s="26"/>
    </row>
    <row r="78" spans="2:17" x14ac:dyDescent="0.3">
      <c r="B78" s="25"/>
      <c r="C78" s="25"/>
      <c r="D78" s="63"/>
      <c r="E78" s="25"/>
      <c r="F78" s="25"/>
      <c r="G78" s="63"/>
      <c r="H78" s="25"/>
      <c r="I78" s="25"/>
      <c r="J78" s="26"/>
      <c r="K78" s="26"/>
      <c r="L78" s="26"/>
      <c r="M78" s="26"/>
      <c r="N78" s="26"/>
      <c r="O78" s="26"/>
      <c r="P78" s="26"/>
      <c r="Q78" s="26"/>
    </row>
    <row r="79" spans="2:17" x14ac:dyDescent="0.3">
      <c r="B79" s="25"/>
      <c r="C79" s="25"/>
      <c r="D79" s="63"/>
      <c r="E79" s="25"/>
      <c r="F79" s="25"/>
      <c r="G79" s="63"/>
      <c r="H79" s="25"/>
      <c r="I79" s="25"/>
      <c r="J79" s="26"/>
      <c r="K79" s="26"/>
      <c r="L79" s="26"/>
      <c r="M79" s="26"/>
      <c r="N79" s="26"/>
      <c r="O79" s="26"/>
      <c r="P79" s="26"/>
      <c r="Q79" s="26"/>
    </row>
    <row r="80" spans="2:17" x14ac:dyDescent="0.3">
      <c r="B80" s="25"/>
      <c r="C80" s="25"/>
      <c r="D80" s="63"/>
      <c r="E80" s="25"/>
      <c r="F80" s="25"/>
      <c r="G80" s="63"/>
      <c r="H80" s="25"/>
      <c r="I80" s="25"/>
      <c r="J80" s="26"/>
      <c r="K80" s="26"/>
      <c r="L80" s="26"/>
      <c r="M80" s="26"/>
      <c r="N80" s="26"/>
      <c r="O80" s="26"/>
      <c r="P80" s="26"/>
      <c r="Q80" s="26"/>
    </row>
    <row r="81" spans="2:17" x14ac:dyDescent="0.3">
      <c r="B81" s="25"/>
      <c r="C81" s="25"/>
      <c r="D81" s="63"/>
      <c r="E81" s="25"/>
      <c r="F81" s="25"/>
      <c r="G81" s="63"/>
      <c r="H81" s="25"/>
      <c r="I81" s="25"/>
      <c r="J81" s="26"/>
      <c r="K81" s="26"/>
      <c r="L81" s="26"/>
      <c r="M81" s="26"/>
      <c r="N81" s="26"/>
      <c r="O81" s="26"/>
      <c r="P81" s="26"/>
      <c r="Q81" s="26"/>
    </row>
    <row r="82" spans="2:17" x14ac:dyDescent="0.3">
      <c r="B82" s="25"/>
      <c r="C82" s="25"/>
      <c r="D82" s="63"/>
      <c r="E82" s="25"/>
      <c r="F82" s="25"/>
      <c r="G82" s="63"/>
      <c r="H82" s="25"/>
      <c r="I82" s="25"/>
      <c r="J82" s="26"/>
      <c r="K82" s="26"/>
      <c r="L82" s="26"/>
      <c r="M82" s="26"/>
      <c r="N82" s="26"/>
      <c r="O82" s="26"/>
      <c r="P82" s="26"/>
      <c r="Q82" s="26"/>
    </row>
    <row r="83" spans="2:17" x14ac:dyDescent="0.3">
      <c r="B83" s="25"/>
      <c r="C83" s="25"/>
      <c r="D83" s="63"/>
      <c r="E83" s="25"/>
      <c r="F83" s="25"/>
      <c r="G83" s="63"/>
      <c r="H83" s="25"/>
      <c r="I83" s="25"/>
      <c r="J83" s="26"/>
      <c r="K83" s="26"/>
      <c r="L83" s="26"/>
      <c r="M83" s="26"/>
      <c r="N83" s="26"/>
      <c r="O83" s="26"/>
      <c r="P83" s="26"/>
      <c r="Q83" s="26"/>
    </row>
    <row r="84" spans="2:17" x14ac:dyDescent="0.3">
      <c r="B84" s="25"/>
      <c r="C84" s="25"/>
      <c r="D84" s="63"/>
      <c r="E84" s="25"/>
      <c r="F84" s="25"/>
      <c r="G84" s="63"/>
      <c r="H84" s="25"/>
      <c r="I84" s="25"/>
      <c r="J84" s="26"/>
      <c r="K84" s="26"/>
      <c r="L84" s="26"/>
      <c r="M84" s="26"/>
      <c r="N84" s="26"/>
      <c r="O84" s="26"/>
      <c r="P84" s="26"/>
      <c r="Q84" s="26"/>
    </row>
    <row r="85" spans="2:17" x14ac:dyDescent="0.3">
      <c r="B85" s="25"/>
      <c r="C85" s="25"/>
      <c r="D85" s="63"/>
      <c r="E85" s="25"/>
      <c r="F85" s="25"/>
      <c r="G85" s="63"/>
      <c r="H85" s="25"/>
      <c r="I85" s="25"/>
      <c r="J85" s="26"/>
      <c r="K85" s="26"/>
      <c r="L85" s="26"/>
      <c r="M85" s="26"/>
      <c r="N85" s="26"/>
      <c r="O85" s="26"/>
      <c r="P85" s="26"/>
      <c r="Q85" s="26"/>
    </row>
    <row r="86" spans="2:17" x14ac:dyDescent="0.3">
      <c r="B86" s="25"/>
      <c r="C86" s="25"/>
      <c r="D86" s="63"/>
      <c r="E86" s="25"/>
      <c r="F86" s="25"/>
      <c r="G86" s="63"/>
      <c r="H86" s="25"/>
      <c r="I86" s="25"/>
      <c r="J86" s="26"/>
      <c r="K86" s="26"/>
      <c r="L86" s="26"/>
      <c r="M86" s="26"/>
      <c r="N86" s="26"/>
      <c r="O86" s="26"/>
      <c r="P86" s="26"/>
      <c r="Q86" s="26"/>
    </row>
    <row r="87" spans="2:17" x14ac:dyDescent="0.3">
      <c r="B87" s="25"/>
      <c r="C87" s="25"/>
      <c r="D87" s="63"/>
      <c r="E87" s="25"/>
      <c r="F87" s="25"/>
      <c r="G87" s="63"/>
      <c r="H87" s="25"/>
      <c r="I87" s="25"/>
      <c r="J87" s="26"/>
      <c r="K87" s="26"/>
      <c r="L87" s="26"/>
      <c r="M87" s="26"/>
      <c r="N87" s="26"/>
      <c r="O87" s="26"/>
      <c r="P87" s="26"/>
      <c r="Q87" s="26"/>
    </row>
    <row r="88" spans="2:17" x14ac:dyDescent="0.3">
      <c r="B88" s="25"/>
      <c r="C88" s="25"/>
      <c r="D88" s="63"/>
      <c r="E88" s="25"/>
      <c r="F88" s="25"/>
      <c r="G88" s="63"/>
      <c r="H88" s="25"/>
      <c r="I88" s="25"/>
      <c r="J88" s="26"/>
      <c r="K88" s="26"/>
      <c r="L88" s="26"/>
      <c r="M88" s="26"/>
      <c r="N88" s="26"/>
      <c r="O88" s="26"/>
      <c r="P88" s="26"/>
      <c r="Q88" s="26"/>
    </row>
    <row r="89" spans="2:17" x14ac:dyDescent="0.3">
      <c r="B89" s="25"/>
      <c r="C89" s="25"/>
      <c r="D89" s="63"/>
      <c r="E89" s="25"/>
      <c r="F89" s="25"/>
      <c r="G89" s="63"/>
      <c r="H89" s="25"/>
      <c r="I89" s="25"/>
      <c r="J89" s="26"/>
      <c r="K89" s="26"/>
      <c r="L89" s="26"/>
      <c r="M89" s="26"/>
      <c r="N89" s="26"/>
      <c r="O89" s="26"/>
      <c r="P89" s="26"/>
      <c r="Q89" s="26"/>
    </row>
    <row r="90" spans="2:17" x14ac:dyDescent="0.3">
      <c r="B90" s="25"/>
      <c r="C90" s="25"/>
      <c r="D90" s="63"/>
      <c r="E90" s="25"/>
      <c r="F90" s="25"/>
      <c r="G90" s="63"/>
      <c r="H90" s="25"/>
      <c r="I90" s="25"/>
      <c r="J90" s="26"/>
      <c r="K90" s="26"/>
      <c r="L90" s="26"/>
      <c r="M90" s="26"/>
      <c r="N90" s="26"/>
      <c r="O90" s="26"/>
      <c r="P90" s="26"/>
      <c r="Q90" s="26"/>
    </row>
    <row r="91" spans="2:17" x14ac:dyDescent="0.3">
      <c r="B91" s="25"/>
      <c r="C91" s="25"/>
      <c r="D91" s="63"/>
      <c r="E91" s="25"/>
      <c r="F91" s="25"/>
      <c r="G91" s="63"/>
      <c r="H91" s="25"/>
      <c r="I91" s="25"/>
      <c r="J91" s="26"/>
      <c r="K91" s="26"/>
      <c r="L91" s="26"/>
      <c r="M91" s="26"/>
      <c r="N91" s="26"/>
      <c r="O91" s="26"/>
      <c r="P91" s="26"/>
      <c r="Q91" s="26"/>
    </row>
    <row r="92" spans="2:17" x14ac:dyDescent="0.3">
      <c r="B92" s="25"/>
      <c r="C92" s="25"/>
      <c r="D92" s="63"/>
      <c r="E92" s="25"/>
      <c r="F92" s="25"/>
      <c r="G92" s="63"/>
      <c r="H92" s="25"/>
      <c r="I92" s="25"/>
      <c r="J92" s="26"/>
      <c r="K92" s="26"/>
      <c r="L92" s="26"/>
      <c r="M92" s="26"/>
      <c r="N92" s="26"/>
      <c r="O92" s="26"/>
      <c r="P92" s="26"/>
      <c r="Q92" s="26"/>
    </row>
    <row r="93" spans="2:17" x14ac:dyDescent="0.3">
      <c r="B93" s="25"/>
      <c r="C93" s="25"/>
      <c r="D93" s="63"/>
      <c r="E93" s="25"/>
      <c r="F93" s="25"/>
      <c r="G93" s="63"/>
      <c r="H93" s="25"/>
      <c r="I93" s="25"/>
      <c r="J93" s="26"/>
      <c r="K93" s="26"/>
      <c r="L93" s="26"/>
      <c r="M93" s="26"/>
      <c r="N93" s="26"/>
      <c r="O93" s="26"/>
      <c r="P93" s="26"/>
      <c r="Q93" s="26"/>
    </row>
    <row r="94" spans="2:17" x14ac:dyDescent="0.3">
      <c r="B94" s="25"/>
      <c r="C94" s="25"/>
      <c r="D94" s="63"/>
      <c r="E94" s="25"/>
      <c r="F94" s="25"/>
      <c r="G94" s="63"/>
      <c r="H94" s="25"/>
      <c r="I94" s="25"/>
      <c r="J94" s="26"/>
      <c r="K94" s="26"/>
      <c r="L94" s="26"/>
      <c r="M94" s="26"/>
      <c r="N94" s="26"/>
      <c r="O94" s="26"/>
      <c r="P94" s="26"/>
      <c r="Q94" s="26"/>
    </row>
    <row r="95" spans="2:17" x14ac:dyDescent="0.3">
      <c r="B95" s="25"/>
      <c r="C95" s="25"/>
      <c r="D95" s="63"/>
      <c r="E95" s="25"/>
      <c r="F95" s="25"/>
      <c r="G95" s="63"/>
      <c r="H95" s="25"/>
      <c r="I95" s="25"/>
      <c r="J95" s="26"/>
      <c r="K95" s="26"/>
      <c r="L95" s="26"/>
      <c r="M95" s="26"/>
      <c r="N95" s="26"/>
      <c r="O95" s="26"/>
      <c r="P95" s="26"/>
      <c r="Q95" s="26"/>
    </row>
    <row r="96" spans="2:17" x14ac:dyDescent="0.3">
      <c r="B96" s="25"/>
      <c r="C96" s="25"/>
      <c r="D96" s="63"/>
      <c r="E96" s="25"/>
      <c r="F96" s="25"/>
      <c r="G96" s="63"/>
      <c r="H96" s="25"/>
      <c r="I96" s="25"/>
      <c r="J96" s="26"/>
      <c r="K96" s="26"/>
      <c r="L96" s="26"/>
      <c r="M96" s="26"/>
      <c r="N96" s="26"/>
      <c r="O96" s="26"/>
      <c r="P96" s="26"/>
      <c r="Q96" s="26"/>
    </row>
    <row r="97" spans="2:17" x14ac:dyDescent="0.3">
      <c r="B97" s="25"/>
      <c r="C97" s="25"/>
      <c r="D97" s="63"/>
      <c r="E97" s="25"/>
      <c r="F97" s="25"/>
      <c r="G97" s="63"/>
      <c r="H97" s="25"/>
      <c r="I97" s="25"/>
      <c r="J97" s="26"/>
      <c r="K97" s="26"/>
      <c r="L97" s="26"/>
      <c r="M97" s="26"/>
      <c r="N97" s="26"/>
      <c r="O97" s="26"/>
      <c r="P97" s="26"/>
      <c r="Q97" s="26"/>
    </row>
    <row r="98" spans="2:17" x14ac:dyDescent="0.3">
      <c r="B98" s="25"/>
      <c r="C98" s="25"/>
      <c r="D98" s="63"/>
      <c r="E98" s="25"/>
      <c r="F98" s="25"/>
      <c r="G98" s="63"/>
      <c r="H98" s="25"/>
      <c r="I98" s="25"/>
      <c r="J98" s="26"/>
      <c r="K98" s="26"/>
      <c r="L98" s="26"/>
      <c r="M98" s="26"/>
      <c r="N98" s="26"/>
      <c r="O98" s="26"/>
      <c r="P98" s="26"/>
      <c r="Q98" s="26"/>
    </row>
    <row r="99" spans="2:17" x14ac:dyDescent="0.3">
      <c r="B99" s="25"/>
      <c r="C99" s="25"/>
      <c r="D99" s="63"/>
      <c r="E99" s="25"/>
      <c r="F99" s="25"/>
      <c r="G99" s="63"/>
      <c r="H99" s="25"/>
      <c r="I99" s="25"/>
      <c r="J99" s="26"/>
      <c r="K99" s="26"/>
      <c r="L99" s="26"/>
      <c r="M99" s="26"/>
      <c r="N99" s="26"/>
      <c r="O99" s="26"/>
      <c r="P99" s="26"/>
      <c r="Q99" s="26"/>
    </row>
    <row r="100" spans="2:17" x14ac:dyDescent="0.3">
      <c r="B100" s="25"/>
      <c r="C100" s="25"/>
      <c r="D100" s="63"/>
      <c r="E100" s="25"/>
      <c r="F100" s="25"/>
      <c r="G100" s="63"/>
      <c r="H100" s="25"/>
      <c r="I100" s="25"/>
      <c r="J100" s="26"/>
      <c r="K100" s="26"/>
      <c r="L100" s="26"/>
      <c r="M100" s="26"/>
      <c r="N100" s="26"/>
      <c r="O100" s="26"/>
      <c r="P100" s="26"/>
      <c r="Q100" s="26"/>
    </row>
    <row r="101" spans="2:17" x14ac:dyDescent="0.3">
      <c r="B101" s="25"/>
      <c r="C101" s="25"/>
      <c r="D101" s="63"/>
      <c r="E101" s="25"/>
      <c r="F101" s="25"/>
      <c r="G101" s="63"/>
      <c r="H101" s="25"/>
      <c r="I101" s="25"/>
      <c r="J101" s="26"/>
      <c r="K101" s="26"/>
      <c r="L101" s="26"/>
      <c r="M101" s="26"/>
      <c r="N101" s="26"/>
      <c r="O101" s="26"/>
      <c r="P101" s="26"/>
      <c r="Q101" s="26"/>
    </row>
    <row r="102" spans="2:17" x14ac:dyDescent="0.3">
      <c r="B102" s="25"/>
      <c r="C102" s="25"/>
      <c r="D102" s="63"/>
      <c r="E102" s="25"/>
      <c r="F102" s="25"/>
      <c r="G102" s="63"/>
      <c r="H102" s="25"/>
      <c r="I102" s="25"/>
      <c r="J102" s="26"/>
      <c r="K102" s="26"/>
      <c r="L102" s="26"/>
      <c r="M102" s="26"/>
      <c r="N102" s="26"/>
      <c r="O102" s="26"/>
      <c r="P102" s="26"/>
      <c r="Q102" s="26"/>
    </row>
    <row r="103" spans="2:17" x14ac:dyDescent="0.3">
      <c r="B103" s="25"/>
      <c r="C103" s="25"/>
      <c r="D103" s="63"/>
      <c r="E103" s="25"/>
      <c r="F103" s="25"/>
      <c r="G103" s="63"/>
      <c r="H103" s="25"/>
      <c r="I103" s="25"/>
      <c r="J103" s="26"/>
      <c r="K103" s="26"/>
      <c r="L103" s="26"/>
      <c r="M103" s="26"/>
      <c r="N103" s="26"/>
      <c r="O103" s="26"/>
      <c r="P103" s="26"/>
      <c r="Q103" s="26"/>
    </row>
    <row r="104" spans="2:17" x14ac:dyDescent="0.3">
      <c r="B104" s="25"/>
      <c r="C104" s="25"/>
      <c r="D104" s="63"/>
      <c r="E104" s="25"/>
      <c r="F104" s="25"/>
      <c r="G104" s="63"/>
      <c r="H104" s="25"/>
      <c r="I104" s="25"/>
      <c r="J104" s="26"/>
      <c r="K104" s="26"/>
      <c r="L104" s="26"/>
      <c r="M104" s="26"/>
      <c r="N104" s="26"/>
      <c r="O104" s="26"/>
      <c r="P104" s="26"/>
      <c r="Q104" s="26"/>
    </row>
    <row r="105" spans="2:17" x14ac:dyDescent="0.3">
      <c r="B105" s="25"/>
      <c r="C105" s="25"/>
      <c r="D105" s="63"/>
      <c r="E105" s="25"/>
      <c r="F105" s="25"/>
      <c r="G105" s="63"/>
      <c r="H105" s="25"/>
      <c r="I105" s="25"/>
      <c r="J105" s="26"/>
      <c r="K105" s="26"/>
      <c r="L105" s="26"/>
      <c r="M105" s="26"/>
      <c r="N105" s="26"/>
      <c r="O105" s="26"/>
      <c r="P105" s="26"/>
      <c r="Q105" s="26"/>
    </row>
    <row r="106" spans="2:17" x14ac:dyDescent="0.3">
      <c r="B106" s="25"/>
      <c r="C106" s="25"/>
      <c r="D106" s="63"/>
      <c r="E106" s="25"/>
      <c r="F106" s="25"/>
      <c r="G106" s="63"/>
      <c r="H106" s="25"/>
      <c r="I106" s="25"/>
      <c r="J106" s="26"/>
      <c r="K106" s="26"/>
      <c r="L106" s="26"/>
      <c r="M106" s="26"/>
      <c r="N106" s="26"/>
      <c r="O106" s="26"/>
      <c r="P106" s="26"/>
      <c r="Q106" s="26"/>
    </row>
    <row r="107" spans="2:17" x14ac:dyDescent="0.3">
      <c r="B107" s="25"/>
      <c r="C107" s="25"/>
      <c r="D107" s="63"/>
      <c r="E107" s="25"/>
      <c r="F107" s="25"/>
      <c r="G107" s="63"/>
      <c r="H107" s="25"/>
      <c r="I107" s="25"/>
      <c r="J107" s="26"/>
      <c r="K107" s="26"/>
      <c r="L107" s="26"/>
      <c r="M107" s="26"/>
      <c r="N107" s="26"/>
      <c r="O107" s="26"/>
      <c r="P107" s="26"/>
      <c r="Q107" s="26"/>
    </row>
    <row r="108" spans="2:17" x14ac:dyDescent="0.3">
      <c r="B108" s="25"/>
      <c r="C108" s="25"/>
      <c r="D108" s="63"/>
      <c r="E108" s="25"/>
      <c r="F108" s="25"/>
      <c r="G108" s="63"/>
      <c r="H108" s="25"/>
      <c r="I108" s="25"/>
      <c r="J108" s="26"/>
      <c r="K108" s="26"/>
      <c r="L108" s="26"/>
      <c r="M108" s="26"/>
      <c r="N108" s="26"/>
      <c r="O108" s="26"/>
      <c r="P108" s="26"/>
      <c r="Q108" s="26"/>
    </row>
    <row r="109" spans="2:17" x14ac:dyDescent="0.3">
      <c r="B109" s="25"/>
      <c r="C109" s="25"/>
      <c r="D109" s="63"/>
      <c r="E109" s="25"/>
      <c r="F109" s="25"/>
      <c r="G109" s="63"/>
      <c r="H109" s="25"/>
      <c r="I109" s="25"/>
      <c r="J109" s="26"/>
      <c r="K109" s="26"/>
      <c r="L109" s="26"/>
      <c r="M109" s="26"/>
      <c r="N109" s="26"/>
      <c r="O109" s="26"/>
      <c r="P109" s="26"/>
      <c r="Q109" s="26"/>
    </row>
    <row r="110" spans="2:17" x14ac:dyDescent="0.3">
      <c r="B110" s="25"/>
      <c r="C110" s="25"/>
      <c r="D110" s="63"/>
      <c r="E110" s="25"/>
      <c r="F110" s="25"/>
      <c r="G110" s="63"/>
      <c r="H110" s="25"/>
      <c r="I110" s="25"/>
      <c r="J110" s="26"/>
      <c r="K110" s="26"/>
      <c r="L110" s="26"/>
      <c r="M110" s="26"/>
      <c r="N110" s="26"/>
      <c r="O110" s="26"/>
      <c r="P110" s="26"/>
      <c r="Q110" s="26"/>
    </row>
    <row r="111" spans="2:17" x14ac:dyDescent="0.3">
      <c r="B111" s="25"/>
      <c r="C111" s="25"/>
      <c r="D111" s="63"/>
      <c r="E111" s="25"/>
      <c r="F111" s="25"/>
      <c r="G111" s="63"/>
      <c r="H111" s="25"/>
      <c r="I111" s="25"/>
      <c r="J111" s="26"/>
      <c r="K111" s="26"/>
      <c r="L111" s="26"/>
      <c r="M111" s="26"/>
      <c r="N111" s="26"/>
      <c r="O111" s="26"/>
      <c r="P111" s="26"/>
      <c r="Q111" s="26"/>
    </row>
    <row r="112" spans="2:17" x14ac:dyDescent="0.3">
      <c r="B112" s="25"/>
      <c r="C112" s="25"/>
      <c r="D112" s="63"/>
      <c r="E112" s="25"/>
      <c r="F112" s="25"/>
      <c r="G112" s="63"/>
      <c r="H112" s="25"/>
      <c r="I112" s="25"/>
      <c r="J112" s="26"/>
      <c r="K112" s="26"/>
      <c r="L112" s="26"/>
      <c r="M112" s="26"/>
      <c r="N112" s="26"/>
      <c r="O112" s="26"/>
      <c r="P112" s="26"/>
      <c r="Q112" s="26"/>
    </row>
    <row r="113" spans="2:17" x14ac:dyDescent="0.3">
      <c r="B113" s="25"/>
      <c r="C113" s="25"/>
      <c r="D113" s="63"/>
      <c r="E113" s="25"/>
      <c r="F113" s="25"/>
      <c r="G113" s="63"/>
      <c r="H113" s="25"/>
      <c r="I113" s="25"/>
      <c r="J113" s="26"/>
      <c r="K113" s="26"/>
      <c r="L113" s="26"/>
      <c r="M113" s="26"/>
      <c r="N113" s="26"/>
      <c r="O113" s="26"/>
      <c r="P113" s="26"/>
      <c r="Q113" s="26"/>
    </row>
    <row r="114" spans="2:17" x14ac:dyDescent="0.3">
      <c r="B114" s="25"/>
      <c r="C114" s="25"/>
      <c r="D114" s="63"/>
      <c r="E114" s="25"/>
      <c r="F114" s="25"/>
      <c r="G114" s="63"/>
      <c r="H114" s="25"/>
      <c r="I114" s="25"/>
      <c r="J114" s="26"/>
      <c r="K114" s="26"/>
      <c r="L114" s="26"/>
      <c r="M114" s="26"/>
      <c r="N114" s="26"/>
      <c r="O114" s="26"/>
      <c r="P114" s="26"/>
      <c r="Q114" s="26"/>
    </row>
    <row r="115" spans="2:17" x14ac:dyDescent="0.3">
      <c r="B115" s="25"/>
      <c r="C115" s="25"/>
      <c r="D115" s="63"/>
      <c r="E115" s="25"/>
      <c r="F115" s="25"/>
      <c r="G115" s="63"/>
      <c r="H115" s="25"/>
      <c r="I115" s="25"/>
      <c r="J115" s="26"/>
      <c r="K115" s="26"/>
      <c r="L115" s="26"/>
      <c r="M115" s="26"/>
      <c r="N115" s="26"/>
      <c r="O115" s="26"/>
      <c r="P115" s="26"/>
      <c r="Q115" s="26"/>
    </row>
    <row r="116" spans="2:17" x14ac:dyDescent="0.3">
      <c r="B116" s="25"/>
      <c r="C116" s="25"/>
      <c r="D116" s="63"/>
      <c r="E116" s="25"/>
      <c r="F116" s="25"/>
      <c r="G116" s="63"/>
      <c r="H116" s="25"/>
      <c r="I116" s="25"/>
      <c r="J116" s="26"/>
      <c r="K116" s="26"/>
      <c r="L116" s="26"/>
      <c r="M116" s="26"/>
      <c r="N116" s="26"/>
      <c r="O116" s="26"/>
      <c r="P116" s="26"/>
      <c r="Q116" s="26"/>
    </row>
    <row r="117" spans="2:17" x14ac:dyDescent="0.3">
      <c r="B117" s="25"/>
      <c r="C117" s="25"/>
      <c r="D117" s="63"/>
      <c r="E117" s="25"/>
      <c r="F117" s="25"/>
      <c r="G117" s="63"/>
      <c r="H117" s="25"/>
      <c r="I117" s="25"/>
      <c r="J117" s="26"/>
      <c r="K117" s="26"/>
      <c r="L117" s="26"/>
      <c r="M117" s="26"/>
      <c r="N117" s="26"/>
      <c r="O117" s="26"/>
      <c r="P117" s="26"/>
      <c r="Q117" s="26"/>
    </row>
    <row r="118" spans="2:17" x14ac:dyDescent="0.3">
      <c r="B118" s="25"/>
      <c r="C118" s="25"/>
      <c r="D118" s="63"/>
      <c r="E118" s="25"/>
      <c r="F118" s="25"/>
      <c r="G118" s="63"/>
      <c r="H118" s="25"/>
      <c r="I118" s="25"/>
      <c r="J118" s="26"/>
      <c r="K118" s="26"/>
      <c r="L118" s="26"/>
      <c r="M118" s="26"/>
      <c r="N118" s="26"/>
      <c r="O118" s="26"/>
      <c r="P118" s="26"/>
      <c r="Q118" s="26"/>
    </row>
    <row r="119" spans="2:17" x14ac:dyDescent="0.3">
      <c r="B119" s="25"/>
      <c r="C119" s="25"/>
      <c r="D119" s="63"/>
      <c r="E119" s="25"/>
      <c r="F119" s="25"/>
      <c r="G119" s="63"/>
      <c r="H119" s="25"/>
      <c r="I119" s="25"/>
      <c r="J119" s="26"/>
      <c r="K119" s="26"/>
      <c r="L119" s="26"/>
      <c r="M119" s="26"/>
      <c r="N119" s="26"/>
      <c r="O119" s="26"/>
      <c r="P119" s="26"/>
      <c r="Q119" s="26"/>
    </row>
    <row r="120" spans="2:17" x14ac:dyDescent="0.3">
      <c r="B120" s="25"/>
      <c r="C120" s="25"/>
      <c r="D120" s="63"/>
      <c r="E120" s="25"/>
      <c r="F120" s="25"/>
      <c r="G120" s="63"/>
      <c r="H120" s="25"/>
      <c r="I120" s="25"/>
      <c r="J120" s="26"/>
      <c r="K120" s="26"/>
      <c r="L120" s="26"/>
      <c r="M120" s="26"/>
      <c r="N120" s="26"/>
      <c r="O120" s="26"/>
      <c r="P120" s="26"/>
      <c r="Q120" s="26"/>
    </row>
    <row r="121" spans="2:17" x14ac:dyDescent="0.3">
      <c r="B121" s="25"/>
      <c r="C121" s="25"/>
      <c r="D121" s="63"/>
      <c r="E121" s="25"/>
      <c r="F121" s="25"/>
      <c r="G121" s="63"/>
      <c r="H121" s="25"/>
      <c r="I121" s="25"/>
      <c r="J121" s="26"/>
      <c r="K121" s="26"/>
      <c r="L121" s="26"/>
      <c r="M121" s="26"/>
      <c r="N121" s="26"/>
      <c r="O121" s="26"/>
      <c r="P121" s="26"/>
      <c r="Q121" s="26"/>
    </row>
    <row r="122" spans="2:17" x14ac:dyDescent="0.3">
      <c r="B122" s="25"/>
      <c r="C122" s="25"/>
      <c r="D122" s="63"/>
      <c r="E122" s="25"/>
      <c r="F122" s="25"/>
      <c r="G122" s="63"/>
      <c r="H122" s="25"/>
      <c r="I122" s="25"/>
      <c r="J122" s="26"/>
      <c r="K122" s="26"/>
      <c r="L122" s="26"/>
      <c r="M122" s="26"/>
      <c r="N122" s="26"/>
      <c r="O122" s="26"/>
      <c r="P122" s="26"/>
      <c r="Q122" s="26"/>
    </row>
    <row r="123" spans="2:17" x14ac:dyDescent="0.3">
      <c r="B123" s="25"/>
      <c r="C123" s="25"/>
      <c r="D123" s="63"/>
      <c r="E123" s="25"/>
      <c r="F123" s="25"/>
      <c r="G123" s="63"/>
      <c r="H123" s="25"/>
      <c r="I123" s="25"/>
      <c r="J123" s="26"/>
      <c r="K123" s="26"/>
      <c r="L123" s="26"/>
      <c r="M123" s="26"/>
      <c r="N123" s="26"/>
      <c r="O123" s="26"/>
      <c r="P123" s="26"/>
      <c r="Q123" s="26"/>
    </row>
    <row r="124" spans="2:17" x14ac:dyDescent="0.3">
      <c r="B124" s="25"/>
      <c r="C124" s="25"/>
      <c r="D124" s="63"/>
      <c r="E124" s="25"/>
      <c r="F124" s="25"/>
      <c r="G124" s="63"/>
      <c r="H124" s="25"/>
      <c r="I124" s="25"/>
      <c r="J124" s="26"/>
      <c r="K124" s="26"/>
      <c r="L124" s="26"/>
      <c r="M124" s="26"/>
      <c r="N124" s="26"/>
      <c r="O124" s="26"/>
      <c r="P124" s="26"/>
      <c r="Q124" s="26"/>
    </row>
    <row r="125" spans="2:17" x14ac:dyDescent="0.3">
      <c r="B125" s="25"/>
      <c r="C125" s="25"/>
      <c r="D125" s="63"/>
      <c r="E125" s="25"/>
      <c r="F125" s="25"/>
      <c r="G125" s="63"/>
      <c r="H125" s="25"/>
      <c r="I125" s="25"/>
      <c r="J125" s="26"/>
      <c r="K125" s="26"/>
      <c r="L125" s="26"/>
      <c r="M125" s="26"/>
      <c r="N125" s="26"/>
      <c r="O125" s="26"/>
      <c r="P125" s="26"/>
      <c r="Q125" s="26"/>
    </row>
    <row r="126" spans="2:17" x14ac:dyDescent="0.3">
      <c r="B126" s="25"/>
      <c r="C126" s="25"/>
      <c r="D126" s="63"/>
      <c r="E126" s="25"/>
      <c r="F126" s="25"/>
      <c r="G126" s="63"/>
      <c r="H126" s="25"/>
      <c r="I126" s="25"/>
      <c r="J126" s="26"/>
      <c r="K126" s="26"/>
      <c r="L126" s="26"/>
      <c r="M126" s="26"/>
      <c r="N126" s="26"/>
      <c r="O126" s="26"/>
      <c r="P126" s="26"/>
      <c r="Q126" s="26"/>
    </row>
    <row r="127" spans="2:17" x14ac:dyDescent="0.3">
      <c r="B127" s="25"/>
      <c r="C127" s="25"/>
      <c r="D127" s="63"/>
      <c r="E127" s="25"/>
      <c r="F127" s="25"/>
      <c r="G127" s="63"/>
      <c r="H127" s="25"/>
      <c r="I127" s="25"/>
      <c r="J127" s="26"/>
      <c r="K127" s="26"/>
      <c r="L127" s="26"/>
      <c r="M127" s="26"/>
      <c r="N127" s="26"/>
      <c r="O127" s="26"/>
      <c r="P127" s="26"/>
      <c r="Q127" s="26"/>
    </row>
    <row r="128" spans="2:17" x14ac:dyDescent="0.3">
      <c r="B128" s="25"/>
      <c r="C128" s="25"/>
      <c r="D128" s="63"/>
      <c r="E128" s="25"/>
      <c r="F128" s="25"/>
      <c r="G128" s="63"/>
      <c r="H128" s="25"/>
      <c r="I128" s="25"/>
      <c r="J128" s="26"/>
      <c r="K128" s="26"/>
      <c r="L128" s="26"/>
      <c r="M128" s="26"/>
      <c r="N128" s="26"/>
      <c r="O128" s="26"/>
      <c r="P128" s="26"/>
      <c r="Q128" s="26"/>
    </row>
    <row r="129" spans="2:17" x14ac:dyDescent="0.3">
      <c r="B129" s="25"/>
      <c r="C129" s="25"/>
      <c r="D129" s="63"/>
      <c r="E129" s="25"/>
      <c r="F129" s="25"/>
      <c r="G129" s="63"/>
      <c r="H129" s="25"/>
      <c r="I129" s="25"/>
      <c r="J129" s="26"/>
      <c r="K129" s="26"/>
      <c r="L129" s="26"/>
      <c r="M129" s="26"/>
      <c r="N129" s="26"/>
      <c r="O129" s="26"/>
      <c r="P129" s="26"/>
      <c r="Q129" s="26"/>
    </row>
    <row r="130" spans="2:17" x14ac:dyDescent="0.3">
      <c r="B130" s="25"/>
      <c r="C130" s="25"/>
      <c r="D130" s="63"/>
      <c r="E130" s="25"/>
      <c r="F130" s="25"/>
      <c r="G130" s="63"/>
      <c r="H130" s="25"/>
      <c r="I130" s="25"/>
      <c r="J130" s="26"/>
      <c r="K130" s="26"/>
      <c r="L130" s="26"/>
      <c r="M130" s="26"/>
      <c r="N130" s="26"/>
      <c r="O130" s="26"/>
      <c r="P130" s="26"/>
      <c r="Q130" s="26"/>
    </row>
    <row r="131" spans="2:17" x14ac:dyDescent="0.3">
      <c r="B131" s="25"/>
      <c r="C131" s="25"/>
      <c r="D131" s="63"/>
      <c r="E131" s="25"/>
      <c r="F131" s="25"/>
      <c r="G131" s="63"/>
      <c r="H131" s="25"/>
      <c r="I131" s="25"/>
      <c r="J131" s="26"/>
      <c r="K131" s="26"/>
      <c r="L131" s="26"/>
      <c r="M131" s="26"/>
      <c r="N131" s="26"/>
      <c r="O131" s="26"/>
      <c r="P131" s="26"/>
      <c r="Q131" s="26"/>
    </row>
    <row r="132" spans="2:17" x14ac:dyDescent="0.3">
      <c r="B132" s="25"/>
      <c r="C132" s="25"/>
      <c r="D132" s="63"/>
      <c r="E132" s="25"/>
      <c r="F132" s="25"/>
      <c r="G132" s="63"/>
      <c r="H132" s="25"/>
      <c r="I132" s="25"/>
      <c r="J132" s="26"/>
      <c r="K132" s="26"/>
      <c r="L132" s="26"/>
      <c r="M132" s="26"/>
      <c r="N132" s="26"/>
      <c r="O132" s="26"/>
      <c r="P132" s="26"/>
      <c r="Q132" s="26"/>
    </row>
    <row r="133" spans="2:17" x14ac:dyDescent="0.3">
      <c r="B133" s="25"/>
      <c r="C133" s="25"/>
      <c r="D133" s="63"/>
      <c r="E133" s="25"/>
      <c r="F133" s="25"/>
      <c r="G133" s="63"/>
      <c r="H133" s="25"/>
      <c r="I133" s="25"/>
      <c r="J133" s="26"/>
      <c r="K133" s="26"/>
      <c r="L133" s="26"/>
      <c r="M133" s="26"/>
      <c r="N133" s="26"/>
      <c r="O133" s="26"/>
      <c r="P133" s="26"/>
      <c r="Q133" s="26"/>
    </row>
    <row r="134" spans="2:17" x14ac:dyDescent="0.3">
      <c r="B134" s="25"/>
      <c r="C134" s="25"/>
      <c r="D134" s="63"/>
      <c r="E134" s="25"/>
      <c r="F134" s="25"/>
      <c r="G134" s="63"/>
      <c r="H134" s="25"/>
      <c r="I134" s="25"/>
      <c r="J134" s="26"/>
      <c r="K134" s="26"/>
      <c r="L134" s="26"/>
      <c r="M134" s="26"/>
      <c r="N134" s="26"/>
      <c r="O134" s="26"/>
      <c r="P134" s="26"/>
      <c r="Q134" s="26"/>
    </row>
    <row r="135" spans="2:17" x14ac:dyDescent="0.3">
      <c r="B135" s="25"/>
      <c r="C135" s="25"/>
      <c r="D135" s="63"/>
      <c r="E135" s="25"/>
      <c r="F135" s="25"/>
      <c r="G135" s="63"/>
      <c r="H135" s="25"/>
      <c r="I135" s="25"/>
      <c r="J135" s="26"/>
      <c r="K135" s="26"/>
      <c r="L135" s="26"/>
      <c r="M135" s="26"/>
      <c r="N135" s="26"/>
      <c r="O135" s="26"/>
      <c r="P135" s="26"/>
      <c r="Q135" s="26"/>
    </row>
    <row r="136" spans="2:17" x14ac:dyDescent="0.3">
      <c r="B136" s="25"/>
      <c r="C136" s="25"/>
      <c r="D136" s="63"/>
      <c r="E136" s="25"/>
      <c r="F136" s="25"/>
      <c r="G136" s="63"/>
      <c r="H136" s="25"/>
      <c r="I136" s="25"/>
      <c r="J136" s="26"/>
      <c r="K136" s="26"/>
      <c r="L136" s="26"/>
      <c r="M136" s="26"/>
      <c r="N136" s="26"/>
      <c r="O136" s="26"/>
      <c r="P136" s="26"/>
      <c r="Q136" s="26"/>
    </row>
    <row r="137" spans="2:17" x14ac:dyDescent="0.3">
      <c r="B137" s="25"/>
      <c r="C137" s="25"/>
      <c r="D137" s="63"/>
      <c r="E137" s="25"/>
      <c r="F137" s="25"/>
      <c r="G137" s="63"/>
      <c r="H137" s="25"/>
      <c r="I137" s="25"/>
      <c r="J137" s="26"/>
      <c r="K137" s="26"/>
      <c r="L137" s="26"/>
      <c r="M137" s="26"/>
      <c r="N137" s="26"/>
      <c r="O137" s="26"/>
      <c r="P137" s="26"/>
      <c r="Q137" s="26"/>
    </row>
    <row r="138" spans="2:17" x14ac:dyDescent="0.3">
      <c r="B138" s="25"/>
      <c r="C138" s="25"/>
      <c r="D138" s="63"/>
      <c r="E138" s="25"/>
      <c r="F138" s="25"/>
      <c r="G138" s="63"/>
      <c r="H138" s="25"/>
      <c r="I138" s="25"/>
      <c r="J138" s="26"/>
      <c r="K138" s="26"/>
      <c r="L138" s="26"/>
      <c r="M138" s="26"/>
      <c r="N138" s="26"/>
      <c r="O138" s="26"/>
      <c r="P138" s="26"/>
      <c r="Q138" s="26"/>
    </row>
    <row r="139" spans="2:17" x14ac:dyDescent="0.3">
      <c r="B139" s="25"/>
      <c r="C139" s="25"/>
      <c r="D139" s="63"/>
      <c r="E139" s="25"/>
      <c r="F139" s="25"/>
      <c r="G139" s="63"/>
      <c r="H139" s="25"/>
      <c r="I139" s="25"/>
      <c r="J139" s="26"/>
      <c r="K139" s="26"/>
      <c r="L139" s="26"/>
      <c r="M139" s="26"/>
      <c r="N139" s="26"/>
      <c r="O139" s="26"/>
      <c r="P139" s="26"/>
      <c r="Q139" s="26"/>
    </row>
    <row r="140" spans="2:17" x14ac:dyDescent="0.3">
      <c r="B140" s="25"/>
      <c r="C140" s="25"/>
      <c r="D140" s="63"/>
      <c r="E140" s="25"/>
      <c r="F140" s="25"/>
      <c r="G140" s="63"/>
      <c r="H140" s="25"/>
      <c r="I140" s="25"/>
      <c r="J140" s="26"/>
      <c r="K140" s="26"/>
      <c r="L140" s="26"/>
      <c r="M140" s="26"/>
      <c r="N140" s="26"/>
      <c r="O140" s="26"/>
      <c r="P140" s="26"/>
      <c r="Q140" s="26"/>
    </row>
    <row r="141" spans="2:17" x14ac:dyDescent="0.3">
      <c r="B141" s="25"/>
      <c r="C141" s="25"/>
      <c r="D141" s="63"/>
      <c r="E141" s="25"/>
      <c r="F141" s="25"/>
      <c r="G141" s="63"/>
      <c r="H141" s="25"/>
      <c r="I141" s="25"/>
      <c r="J141" s="26"/>
      <c r="K141" s="26"/>
      <c r="L141" s="26"/>
      <c r="M141" s="26"/>
      <c r="N141" s="26"/>
      <c r="O141" s="26"/>
      <c r="P141" s="26"/>
      <c r="Q141" s="26"/>
    </row>
    <row r="142" spans="2:17" x14ac:dyDescent="0.3">
      <c r="B142" s="25"/>
      <c r="C142" s="25"/>
      <c r="D142" s="63"/>
      <c r="E142" s="25"/>
      <c r="F142" s="25"/>
      <c r="G142" s="63"/>
      <c r="H142" s="25"/>
      <c r="I142" s="25"/>
      <c r="J142" s="26"/>
      <c r="K142" s="26"/>
      <c r="L142" s="26"/>
      <c r="M142" s="26"/>
      <c r="N142" s="26"/>
      <c r="O142" s="26"/>
      <c r="P142" s="26"/>
      <c r="Q142" s="26"/>
    </row>
    <row r="143" spans="2:17" x14ac:dyDescent="0.3">
      <c r="B143" s="25"/>
      <c r="C143" s="25"/>
      <c r="D143" s="63"/>
      <c r="E143" s="25"/>
      <c r="F143" s="25"/>
      <c r="G143" s="63"/>
      <c r="H143" s="25"/>
      <c r="I143" s="25"/>
      <c r="J143" s="26"/>
      <c r="K143" s="26"/>
      <c r="L143" s="26"/>
      <c r="M143" s="26"/>
      <c r="N143" s="26"/>
      <c r="O143" s="26"/>
      <c r="P143" s="26"/>
      <c r="Q143" s="26"/>
    </row>
    <row r="144" spans="2:17" x14ac:dyDescent="0.3">
      <c r="B144" s="25"/>
      <c r="C144" s="25"/>
      <c r="D144" s="63"/>
      <c r="E144" s="25"/>
      <c r="F144" s="25"/>
      <c r="G144" s="63"/>
      <c r="H144" s="25"/>
      <c r="I144" s="25"/>
      <c r="J144" s="26"/>
      <c r="K144" s="26"/>
      <c r="L144" s="26"/>
      <c r="M144" s="26"/>
      <c r="N144" s="26"/>
      <c r="O144" s="26"/>
      <c r="P144" s="26"/>
      <c r="Q144" s="26"/>
    </row>
    <row r="145" spans="2:17" x14ac:dyDescent="0.3">
      <c r="B145" s="25"/>
      <c r="C145" s="25"/>
      <c r="D145" s="63"/>
      <c r="E145" s="25"/>
      <c r="F145" s="25"/>
      <c r="G145" s="63"/>
      <c r="H145" s="25"/>
      <c r="I145" s="25"/>
      <c r="J145" s="26"/>
      <c r="K145" s="26"/>
      <c r="L145" s="26"/>
      <c r="M145" s="26"/>
      <c r="N145" s="26"/>
      <c r="O145" s="26"/>
      <c r="P145" s="26"/>
      <c r="Q145" s="26"/>
    </row>
    <row r="146" spans="2:17" x14ac:dyDescent="0.3">
      <c r="B146" s="25"/>
      <c r="C146" s="25"/>
      <c r="D146" s="63"/>
      <c r="E146" s="25"/>
      <c r="F146" s="25"/>
      <c r="G146" s="63"/>
      <c r="H146" s="25"/>
      <c r="I146" s="25"/>
      <c r="J146" s="26"/>
      <c r="K146" s="26"/>
      <c r="L146" s="26"/>
      <c r="M146" s="26"/>
      <c r="N146" s="26"/>
      <c r="O146" s="26"/>
      <c r="P146" s="26"/>
      <c r="Q146" s="26"/>
    </row>
    <row r="147" spans="2:17" x14ac:dyDescent="0.3">
      <c r="B147" s="25"/>
      <c r="C147" s="25"/>
      <c r="D147" s="63"/>
      <c r="E147" s="25"/>
      <c r="F147" s="25"/>
      <c r="G147" s="63"/>
      <c r="H147" s="25"/>
      <c r="I147" s="25"/>
      <c r="J147" s="26"/>
      <c r="K147" s="26"/>
      <c r="L147" s="26"/>
      <c r="M147" s="26"/>
      <c r="N147" s="26"/>
      <c r="O147" s="26"/>
      <c r="P147" s="26"/>
      <c r="Q147" s="26"/>
    </row>
    <row r="148" spans="2:17" x14ac:dyDescent="0.3">
      <c r="B148" s="25"/>
      <c r="C148" s="25"/>
      <c r="D148" s="63"/>
      <c r="E148" s="25"/>
      <c r="F148" s="25"/>
      <c r="G148" s="63"/>
      <c r="H148" s="25"/>
      <c r="I148" s="25"/>
      <c r="J148" s="26"/>
      <c r="K148" s="26"/>
      <c r="L148" s="26"/>
      <c r="M148" s="26"/>
      <c r="N148" s="26"/>
      <c r="O148" s="26"/>
      <c r="P148" s="26"/>
      <c r="Q148" s="26"/>
    </row>
    <row r="149" spans="2:17" x14ac:dyDescent="0.3">
      <c r="B149" s="25"/>
      <c r="C149" s="25"/>
      <c r="D149" s="63"/>
      <c r="E149" s="25"/>
      <c r="F149" s="25"/>
      <c r="G149" s="63"/>
      <c r="H149" s="25"/>
      <c r="I149" s="25"/>
      <c r="J149" s="26"/>
      <c r="K149" s="26"/>
      <c r="L149" s="26"/>
      <c r="M149" s="26"/>
      <c r="N149" s="26"/>
      <c r="O149" s="26"/>
      <c r="P149" s="26"/>
      <c r="Q149" s="26"/>
    </row>
    <row r="150" spans="2:17" x14ac:dyDescent="0.3">
      <c r="B150" s="25"/>
      <c r="C150" s="25"/>
      <c r="D150" s="63"/>
      <c r="E150" s="25"/>
      <c r="F150" s="25"/>
      <c r="G150" s="63"/>
      <c r="H150" s="25"/>
      <c r="I150" s="25"/>
      <c r="J150" s="26"/>
      <c r="K150" s="26"/>
      <c r="L150" s="26"/>
      <c r="M150" s="26"/>
      <c r="N150" s="26"/>
      <c r="O150" s="26"/>
      <c r="P150" s="26"/>
      <c r="Q150" s="26"/>
    </row>
    <row r="151" spans="2:17" x14ac:dyDescent="0.3">
      <c r="B151" s="25"/>
      <c r="C151" s="25"/>
      <c r="D151" s="63"/>
      <c r="E151" s="25"/>
      <c r="F151" s="25"/>
      <c r="G151" s="63"/>
      <c r="H151" s="25"/>
      <c r="I151" s="25"/>
      <c r="J151" s="26"/>
      <c r="K151" s="26"/>
      <c r="L151" s="26"/>
      <c r="M151" s="26"/>
      <c r="N151" s="26"/>
      <c r="O151" s="26"/>
      <c r="P151" s="26"/>
      <c r="Q151" s="26"/>
    </row>
    <row r="152" spans="2:17" x14ac:dyDescent="0.3">
      <c r="B152" s="25"/>
      <c r="C152" s="25"/>
      <c r="D152" s="63"/>
      <c r="E152" s="25"/>
      <c r="F152" s="25"/>
      <c r="G152" s="63"/>
      <c r="H152" s="25"/>
      <c r="I152" s="25"/>
      <c r="J152" s="26"/>
      <c r="K152" s="26"/>
      <c r="L152" s="26"/>
      <c r="M152" s="26"/>
      <c r="N152" s="26"/>
      <c r="O152" s="26"/>
      <c r="P152" s="26"/>
      <c r="Q152" s="26"/>
    </row>
    <row r="153" spans="2:17" x14ac:dyDescent="0.3">
      <c r="B153" s="25"/>
      <c r="C153" s="25"/>
      <c r="D153" s="63"/>
      <c r="E153" s="25"/>
      <c r="F153" s="25"/>
      <c r="G153" s="63"/>
      <c r="H153" s="25"/>
      <c r="I153" s="25"/>
      <c r="J153" s="26"/>
      <c r="K153" s="26"/>
      <c r="L153" s="26"/>
      <c r="M153" s="26"/>
      <c r="N153" s="26"/>
      <c r="O153" s="26"/>
      <c r="P153" s="26"/>
      <c r="Q153" s="26"/>
    </row>
    <row r="154" spans="2:17" x14ac:dyDescent="0.3">
      <c r="B154" s="25"/>
      <c r="C154" s="25"/>
      <c r="D154" s="63"/>
      <c r="E154" s="25"/>
      <c r="F154" s="25"/>
      <c r="G154" s="63"/>
      <c r="H154" s="25"/>
      <c r="I154" s="25"/>
      <c r="J154" s="26"/>
      <c r="K154" s="26"/>
      <c r="L154" s="26"/>
      <c r="M154" s="26"/>
      <c r="N154" s="26"/>
      <c r="O154" s="26"/>
      <c r="P154" s="26"/>
      <c r="Q154" s="26"/>
    </row>
    <row r="155" spans="2:17" x14ac:dyDescent="0.3">
      <c r="B155" s="25"/>
      <c r="C155" s="25"/>
      <c r="D155" s="63"/>
      <c r="E155" s="25"/>
      <c r="F155" s="25"/>
      <c r="G155" s="63"/>
      <c r="H155" s="25"/>
      <c r="I155" s="25"/>
      <c r="J155" s="26"/>
      <c r="K155" s="26"/>
      <c r="L155" s="26"/>
      <c r="M155" s="26"/>
      <c r="N155" s="26"/>
      <c r="O155" s="26"/>
      <c r="P155" s="26"/>
      <c r="Q155" s="26"/>
    </row>
    <row r="156" spans="2:17" x14ac:dyDescent="0.3">
      <c r="B156" s="25"/>
      <c r="C156" s="25"/>
      <c r="D156" s="63"/>
      <c r="E156" s="25"/>
      <c r="F156" s="25"/>
      <c r="G156" s="63"/>
      <c r="H156" s="25"/>
      <c r="I156" s="25"/>
      <c r="J156" s="26"/>
      <c r="K156" s="26"/>
      <c r="L156" s="26"/>
      <c r="M156" s="26"/>
      <c r="N156" s="26"/>
      <c r="O156" s="26"/>
      <c r="P156" s="26"/>
      <c r="Q156" s="26"/>
    </row>
    <row r="157" spans="2:17" x14ac:dyDescent="0.3">
      <c r="B157" s="25"/>
      <c r="C157" s="25"/>
      <c r="D157" s="63"/>
      <c r="E157" s="25"/>
      <c r="F157" s="25"/>
      <c r="G157" s="63"/>
      <c r="H157" s="25"/>
      <c r="I157" s="25"/>
      <c r="J157" s="26"/>
      <c r="K157" s="26"/>
      <c r="L157" s="26"/>
      <c r="M157" s="26"/>
      <c r="N157" s="26"/>
      <c r="O157" s="26"/>
      <c r="P157" s="26"/>
      <c r="Q157" s="26"/>
    </row>
    <row r="158" spans="2:17" x14ac:dyDescent="0.3">
      <c r="B158" s="25"/>
      <c r="C158" s="25"/>
      <c r="D158" s="63"/>
      <c r="E158" s="25"/>
      <c r="F158" s="25"/>
      <c r="G158" s="63"/>
      <c r="H158" s="25"/>
      <c r="I158" s="25"/>
      <c r="J158" s="26"/>
      <c r="K158" s="26"/>
      <c r="L158" s="26"/>
      <c r="M158" s="26"/>
      <c r="N158" s="26"/>
      <c r="O158" s="26"/>
      <c r="P158" s="26"/>
      <c r="Q158" s="26"/>
    </row>
    <row r="159" spans="2:17" x14ac:dyDescent="0.3">
      <c r="B159" s="25"/>
      <c r="C159" s="25"/>
      <c r="D159" s="63"/>
      <c r="E159" s="25"/>
      <c r="F159" s="25"/>
      <c r="G159" s="63"/>
      <c r="H159" s="25"/>
      <c r="I159" s="25"/>
      <c r="J159" s="26"/>
      <c r="K159" s="26"/>
      <c r="L159" s="26"/>
      <c r="M159" s="26"/>
      <c r="N159" s="26"/>
      <c r="O159" s="26"/>
      <c r="P159" s="26"/>
      <c r="Q159" s="26"/>
    </row>
    <row r="160" spans="2:17" x14ac:dyDescent="0.3">
      <c r="B160" s="25"/>
      <c r="C160" s="25"/>
      <c r="D160" s="63"/>
      <c r="E160" s="25"/>
      <c r="F160" s="25"/>
      <c r="G160" s="63"/>
      <c r="H160" s="25"/>
      <c r="I160" s="25"/>
      <c r="J160" s="26"/>
      <c r="K160" s="26"/>
      <c r="L160" s="26"/>
      <c r="M160" s="26"/>
      <c r="N160" s="26"/>
      <c r="O160" s="26"/>
      <c r="P160" s="26"/>
      <c r="Q160" s="26"/>
    </row>
    <row r="161" spans="2:17" x14ac:dyDescent="0.3">
      <c r="B161" s="25"/>
      <c r="C161" s="25"/>
      <c r="D161" s="63"/>
      <c r="E161" s="25"/>
      <c r="F161" s="25"/>
      <c r="G161" s="63"/>
      <c r="H161" s="25"/>
      <c r="I161" s="25"/>
      <c r="J161" s="26"/>
      <c r="K161" s="26"/>
      <c r="L161" s="26"/>
      <c r="M161" s="26"/>
      <c r="N161" s="26"/>
      <c r="O161" s="26"/>
      <c r="P161" s="26"/>
      <c r="Q161" s="26"/>
    </row>
    <row r="162" spans="2:17" x14ac:dyDescent="0.3">
      <c r="B162" s="25"/>
      <c r="C162" s="25"/>
      <c r="D162" s="63"/>
      <c r="E162" s="25"/>
      <c r="F162" s="25"/>
      <c r="G162" s="63"/>
      <c r="H162" s="25"/>
      <c r="I162" s="25"/>
      <c r="J162" s="26"/>
      <c r="K162" s="26"/>
      <c r="L162" s="26"/>
      <c r="M162" s="26"/>
      <c r="N162" s="26"/>
      <c r="O162" s="26"/>
      <c r="P162" s="26"/>
      <c r="Q162" s="26"/>
    </row>
    <row r="163" spans="2:17" x14ac:dyDescent="0.3">
      <c r="B163" s="25"/>
      <c r="C163" s="25"/>
      <c r="D163" s="63"/>
      <c r="E163" s="25"/>
      <c r="F163" s="25"/>
      <c r="G163" s="63"/>
      <c r="H163" s="25"/>
      <c r="I163" s="25"/>
      <c r="J163" s="26"/>
      <c r="K163" s="26"/>
      <c r="L163" s="26"/>
      <c r="M163" s="26"/>
      <c r="N163" s="26"/>
      <c r="O163" s="26"/>
      <c r="P163" s="26"/>
      <c r="Q163" s="26"/>
    </row>
    <row r="164" spans="2:17" x14ac:dyDescent="0.3">
      <c r="B164" s="25"/>
      <c r="C164" s="25"/>
      <c r="D164" s="63"/>
      <c r="E164" s="25"/>
      <c r="F164" s="25"/>
      <c r="G164" s="63"/>
      <c r="H164" s="25"/>
      <c r="I164" s="25"/>
      <c r="J164" s="26"/>
      <c r="K164" s="26"/>
      <c r="L164" s="26"/>
      <c r="M164" s="26"/>
      <c r="N164" s="26"/>
      <c r="O164" s="26"/>
      <c r="P164" s="26"/>
      <c r="Q164" s="26"/>
    </row>
    <row r="165" spans="2:17" x14ac:dyDescent="0.3">
      <c r="B165" s="25"/>
      <c r="C165" s="25"/>
      <c r="D165" s="63"/>
      <c r="E165" s="25"/>
      <c r="F165" s="25"/>
      <c r="G165" s="63"/>
      <c r="H165" s="25"/>
      <c r="I165" s="25"/>
      <c r="J165" s="26"/>
      <c r="K165" s="26"/>
      <c r="L165" s="26"/>
      <c r="M165" s="26"/>
      <c r="N165" s="26"/>
      <c r="O165" s="26"/>
      <c r="P165" s="26"/>
      <c r="Q165" s="26"/>
    </row>
    <row r="166" spans="2:17" x14ac:dyDescent="0.3">
      <c r="B166" s="25"/>
      <c r="C166" s="25"/>
      <c r="D166" s="63"/>
      <c r="E166" s="25"/>
      <c r="F166" s="25"/>
      <c r="G166" s="63"/>
      <c r="H166" s="25"/>
      <c r="I166" s="25"/>
      <c r="J166" s="26"/>
      <c r="K166" s="26"/>
      <c r="L166" s="26"/>
      <c r="M166" s="26"/>
      <c r="N166" s="26"/>
      <c r="O166" s="26"/>
      <c r="P166" s="26"/>
      <c r="Q166" s="26"/>
    </row>
    <row r="167" spans="2:17" x14ac:dyDescent="0.3">
      <c r="B167" s="25"/>
      <c r="C167" s="25"/>
      <c r="D167" s="63"/>
      <c r="E167" s="25"/>
      <c r="F167" s="25"/>
      <c r="G167" s="63"/>
      <c r="H167" s="25"/>
      <c r="I167" s="25"/>
      <c r="J167" s="26"/>
      <c r="K167" s="26"/>
      <c r="L167" s="26"/>
      <c r="M167" s="26"/>
      <c r="N167" s="26"/>
      <c r="O167" s="26"/>
      <c r="P167" s="26"/>
      <c r="Q167" s="26"/>
    </row>
    <row r="168" spans="2:17" x14ac:dyDescent="0.3">
      <c r="B168" s="25"/>
      <c r="C168" s="25"/>
      <c r="D168" s="63"/>
      <c r="E168" s="25"/>
      <c r="F168" s="25"/>
      <c r="G168" s="63"/>
      <c r="H168" s="25"/>
      <c r="I168" s="25"/>
      <c r="J168" s="26"/>
      <c r="K168" s="26"/>
      <c r="L168" s="26"/>
      <c r="M168" s="26"/>
      <c r="N168" s="26"/>
      <c r="O168" s="26"/>
      <c r="P168" s="26"/>
      <c r="Q168" s="26"/>
    </row>
    <row r="169" spans="2:17" x14ac:dyDescent="0.3">
      <c r="B169" s="25"/>
      <c r="C169" s="25"/>
      <c r="D169" s="63"/>
      <c r="E169" s="25"/>
      <c r="F169" s="25"/>
      <c r="G169" s="63"/>
      <c r="H169" s="25"/>
      <c r="I169" s="25"/>
      <c r="J169" s="26"/>
      <c r="K169" s="26"/>
      <c r="L169" s="26"/>
      <c r="M169" s="26"/>
      <c r="N169" s="26"/>
      <c r="O169" s="26"/>
      <c r="P169" s="26"/>
      <c r="Q169" s="26"/>
    </row>
    <row r="170" spans="2:17" x14ac:dyDescent="0.3">
      <c r="B170" s="25"/>
      <c r="C170" s="25"/>
      <c r="D170" s="63"/>
      <c r="E170" s="25"/>
      <c r="F170" s="25"/>
      <c r="G170" s="63"/>
      <c r="H170" s="25"/>
      <c r="I170" s="25"/>
      <c r="J170" s="26"/>
      <c r="K170" s="26"/>
      <c r="L170" s="26"/>
      <c r="M170" s="26"/>
      <c r="N170" s="26"/>
      <c r="O170" s="26"/>
      <c r="P170" s="26"/>
      <c r="Q170" s="26"/>
    </row>
    <row r="171" spans="2:17" x14ac:dyDescent="0.3">
      <c r="B171" s="25"/>
      <c r="C171" s="25"/>
      <c r="D171" s="63"/>
      <c r="E171" s="25"/>
      <c r="F171" s="25"/>
      <c r="G171" s="63"/>
      <c r="H171" s="25"/>
      <c r="I171" s="25"/>
      <c r="J171" s="26"/>
      <c r="K171" s="26"/>
      <c r="L171" s="26"/>
      <c r="M171" s="26"/>
      <c r="N171" s="26"/>
      <c r="O171" s="26"/>
      <c r="P171" s="26"/>
      <c r="Q171" s="26"/>
    </row>
    <row r="172" spans="2:17" x14ac:dyDescent="0.3">
      <c r="B172" s="25"/>
      <c r="C172" s="25"/>
      <c r="D172" s="63"/>
      <c r="E172" s="25"/>
      <c r="F172" s="25"/>
      <c r="G172" s="63"/>
      <c r="H172" s="25"/>
      <c r="I172" s="25"/>
      <c r="J172" s="26"/>
      <c r="K172" s="26"/>
      <c r="L172" s="26"/>
      <c r="M172" s="26"/>
      <c r="N172" s="26"/>
      <c r="O172" s="26"/>
      <c r="P172" s="26"/>
      <c r="Q172" s="26"/>
    </row>
    <row r="173" spans="2:17" x14ac:dyDescent="0.3">
      <c r="B173" s="25"/>
      <c r="C173" s="25"/>
      <c r="D173" s="63"/>
      <c r="E173" s="25"/>
      <c r="F173" s="25"/>
      <c r="G173" s="63"/>
      <c r="H173" s="25"/>
      <c r="I173" s="25"/>
      <c r="J173" s="26"/>
      <c r="K173" s="26"/>
      <c r="L173" s="26"/>
      <c r="M173" s="26"/>
      <c r="N173" s="26"/>
      <c r="O173" s="26"/>
      <c r="P173" s="26"/>
      <c r="Q173" s="26"/>
    </row>
    <row r="174" spans="2:17" x14ac:dyDescent="0.3">
      <c r="B174" s="25"/>
      <c r="C174" s="25"/>
      <c r="D174" s="63"/>
      <c r="E174" s="25"/>
      <c r="F174" s="25"/>
      <c r="G174" s="63"/>
      <c r="H174" s="25"/>
      <c r="I174" s="25"/>
      <c r="J174" s="26"/>
      <c r="K174" s="26"/>
      <c r="L174" s="26"/>
      <c r="M174" s="26"/>
      <c r="N174" s="26"/>
      <c r="O174" s="26"/>
      <c r="P174" s="26"/>
      <c r="Q174" s="26"/>
    </row>
    <row r="175" spans="2:17" x14ac:dyDescent="0.3">
      <c r="B175" s="25"/>
      <c r="C175" s="25"/>
      <c r="D175" s="63"/>
      <c r="E175" s="25"/>
      <c r="F175" s="25"/>
      <c r="G175" s="63"/>
      <c r="H175" s="25"/>
      <c r="I175" s="25"/>
      <c r="J175" s="26"/>
      <c r="K175" s="26"/>
      <c r="L175" s="26"/>
      <c r="M175" s="26"/>
      <c r="N175" s="26"/>
      <c r="O175" s="26"/>
      <c r="P175" s="26"/>
      <c r="Q175" s="26"/>
    </row>
    <row r="176" spans="2:17" x14ac:dyDescent="0.3">
      <c r="B176" s="25"/>
      <c r="C176" s="25"/>
      <c r="D176" s="63"/>
      <c r="E176" s="25"/>
      <c r="F176" s="25"/>
      <c r="G176" s="63"/>
      <c r="H176" s="25"/>
      <c r="I176" s="25"/>
      <c r="J176" s="26"/>
      <c r="K176" s="26"/>
      <c r="L176" s="26"/>
      <c r="M176" s="26"/>
      <c r="N176" s="26"/>
      <c r="O176" s="26"/>
      <c r="P176" s="26"/>
      <c r="Q176" s="26"/>
    </row>
    <row r="177" spans="2:17" x14ac:dyDescent="0.3">
      <c r="B177" s="25"/>
      <c r="C177" s="25"/>
      <c r="D177" s="63"/>
      <c r="E177" s="25"/>
      <c r="F177" s="25"/>
      <c r="G177" s="63"/>
      <c r="H177" s="25"/>
      <c r="I177" s="25"/>
      <c r="J177" s="26"/>
      <c r="K177" s="26"/>
      <c r="L177" s="26"/>
      <c r="M177" s="26"/>
      <c r="N177" s="26"/>
      <c r="O177" s="26"/>
      <c r="P177" s="26"/>
      <c r="Q177" s="26"/>
    </row>
    <row r="178" spans="2:17" x14ac:dyDescent="0.3">
      <c r="B178" s="25"/>
      <c r="C178" s="25"/>
      <c r="D178" s="63"/>
      <c r="E178" s="25"/>
      <c r="F178" s="25"/>
      <c r="G178" s="63"/>
      <c r="H178" s="25"/>
      <c r="I178" s="25"/>
      <c r="J178" s="26"/>
      <c r="K178" s="26"/>
      <c r="L178" s="26"/>
      <c r="M178" s="26"/>
      <c r="N178" s="26"/>
      <c r="O178" s="26"/>
      <c r="P178" s="26"/>
      <c r="Q178" s="26"/>
    </row>
    <row r="179" spans="2:17" x14ac:dyDescent="0.3">
      <c r="B179" s="25"/>
      <c r="C179" s="25"/>
      <c r="D179" s="63"/>
      <c r="E179" s="25"/>
      <c r="F179" s="25"/>
      <c r="G179" s="63"/>
      <c r="H179" s="25"/>
      <c r="I179" s="25"/>
      <c r="J179" s="26"/>
      <c r="K179" s="26"/>
      <c r="L179" s="26"/>
      <c r="M179" s="26"/>
      <c r="N179" s="26"/>
      <c r="O179" s="26"/>
      <c r="P179" s="26"/>
      <c r="Q179" s="26"/>
    </row>
    <row r="180" spans="2:17" x14ac:dyDescent="0.3">
      <c r="B180" s="25"/>
      <c r="C180" s="25"/>
      <c r="D180" s="63"/>
      <c r="E180" s="25"/>
      <c r="F180" s="25"/>
      <c r="G180" s="63"/>
      <c r="H180" s="25"/>
      <c r="I180" s="25"/>
      <c r="J180" s="26"/>
      <c r="K180" s="26"/>
      <c r="L180" s="26"/>
      <c r="M180" s="26"/>
      <c r="N180" s="26"/>
      <c r="O180" s="26"/>
      <c r="P180" s="26"/>
      <c r="Q180" s="26"/>
    </row>
    <row r="181" spans="2:17" x14ac:dyDescent="0.3">
      <c r="B181" s="25"/>
      <c r="C181" s="25"/>
      <c r="D181" s="63"/>
      <c r="E181" s="25"/>
      <c r="F181" s="25"/>
      <c r="G181" s="63"/>
      <c r="H181" s="25"/>
      <c r="I181" s="25"/>
      <c r="J181" s="26"/>
      <c r="K181" s="26"/>
      <c r="L181" s="26"/>
      <c r="M181" s="26"/>
      <c r="N181" s="26"/>
      <c r="O181" s="26"/>
      <c r="P181" s="26"/>
      <c r="Q181" s="26"/>
    </row>
    <row r="182" spans="2:17" x14ac:dyDescent="0.3">
      <c r="B182" s="25"/>
      <c r="C182" s="25"/>
      <c r="D182" s="63"/>
      <c r="E182" s="25"/>
      <c r="F182" s="25"/>
      <c r="G182" s="63"/>
      <c r="H182" s="25"/>
      <c r="I182" s="25"/>
      <c r="J182" s="26"/>
      <c r="K182" s="26"/>
      <c r="L182" s="26"/>
      <c r="M182" s="26"/>
      <c r="N182" s="26"/>
      <c r="O182" s="26"/>
      <c r="P182" s="26"/>
      <c r="Q182" s="26"/>
    </row>
    <row r="183" spans="2:17" x14ac:dyDescent="0.3">
      <c r="B183" s="25"/>
      <c r="C183" s="25"/>
      <c r="D183" s="63"/>
      <c r="E183" s="25"/>
      <c r="F183" s="25"/>
      <c r="G183" s="63"/>
      <c r="H183" s="25"/>
      <c r="I183" s="25"/>
      <c r="J183" s="26"/>
      <c r="K183" s="26"/>
      <c r="L183" s="26"/>
      <c r="M183" s="26"/>
      <c r="N183" s="26"/>
      <c r="O183" s="26"/>
      <c r="P183" s="26"/>
      <c r="Q183" s="26"/>
    </row>
    <row r="184" spans="2:17" x14ac:dyDescent="0.3">
      <c r="B184" s="25"/>
      <c r="C184" s="25"/>
      <c r="D184" s="63"/>
      <c r="E184" s="25"/>
      <c r="F184" s="25"/>
      <c r="G184" s="63"/>
      <c r="H184" s="25"/>
      <c r="I184" s="25"/>
      <c r="J184" s="26"/>
      <c r="K184" s="26"/>
      <c r="L184" s="26"/>
      <c r="M184" s="26"/>
      <c r="N184" s="26"/>
      <c r="O184" s="26"/>
      <c r="P184" s="26"/>
      <c r="Q184" s="26"/>
    </row>
    <row r="185" spans="2:17" x14ac:dyDescent="0.3">
      <c r="B185" s="25"/>
      <c r="C185" s="25"/>
      <c r="D185" s="63"/>
      <c r="E185" s="25"/>
      <c r="F185" s="25"/>
      <c r="G185" s="63"/>
      <c r="H185" s="25"/>
      <c r="I185" s="25"/>
      <c r="J185" s="26"/>
      <c r="K185" s="26"/>
      <c r="L185" s="26"/>
      <c r="M185" s="26"/>
      <c r="N185" s="26"/>
      <c r="O185" s="26"/>
      <c r="P185" s="26"/>
      <c r="Q185" s="26"/>
    </row>
    <row r="186" spans="2:17" x14ac:dyDescent="0.3">
      <c r="B186" s="25"/>
      <c r="C186" s="25"/>
      <c r="D186" s="63"/>
      <c r="E186" s="25"/>
      <c r="F186" s="25"/>
      <c r="G186" s="63"/>
      <c r="H186" s="25"/>
      <c r="I186" s="25"/>
      <c r="J186" s="26"/>
      <c r="K186" s="26"/>
      <c r="L186" s="26"/>
      <c r="M186" s="26"/>
      <c r="N186" s="26"/>
      <c r="O186" s="26"/>
      <c r="P186" s="26"/>
      <c r="Q186" s="26"/>
    </row>
    <row r="187" spans="2:17" x14ac:dyDescent="0.3">
      <c r="B187" s="25"/>
      <c r="C187" s="25"/>
      <c r="D187" s="63"/>
      <c r="E187" s="25"/>
      <c r="F187" s="25"/>
      <c r="G187" s="63"/>
      <c r="H187" s="25"/>
      <c r="I187" s="25"/>
      <c r="J187" s="26"/>
      <c r="K187" s="26"/>
      <c r="L187" s="26"/>
      <c r="M187" s="26"/>
      <c r="N187" s="26"/>
      <c r="O187" s="26"/>
      <c r="P187" s="26"/>
      <c r="Q187" s="26"/>
    </row>
    <row r="188" spans="2:17" x14ac:dyDescent="0.3">
      <c r="B188" s="25"/>
      <c r="C188" s="25"/>
      <c r="D188" s="63"/>
      <c r="E188" s="25"/>
      <c r="F188" s="25"/>
      <c r="G188" s="63"/>
      <c r="H188" s="25"/>
      <c r="I188" s="25"/>
      <c r="J188" s="26"/>
      <c r="K188" s="26"/>
      <c r="L188" s="26"/>
      <c r="M188" s="26"/>
      <c r="N188" s="26"/>
      <c r="O188" s="26"/>
      <c r="P188" s="26"/>
      <c r="Q188" s="26"/>
    </row>
    <row r="189" spans="2:17" x14ac:dyDescent="0.3">
      <c r="B189" s="25"/>
      <c r="C189" s="25"/>
      <c r="D189" s="63"/>
      <c r="E189" s="25"/>
      <c r="F189" s="25"/>
      <c r="G189" s="63"/>
      <c r="H189" s="25"/>
      <c r="I189" s="25"/>
      <c r="J189" s="26"/>
      <c r="K189" s="26"/>
      <c r="L189" s="26"/>
      <c r="M189" s="26"/>
      <c r="N189" s="26"/>
      <c r="O189" s="26"/>
      <c r="P189" s="26"/>
      <c r="Q189" s="26"/>
    </row>
    <row r="190" spans="2:17" x14ac:dyDescent="0.3">
      <c r="B190" s="25"/>
      <c r="C190" s="25"/>
      <c r="D190" s="63"/>
      <c r="E190" s="25"/>
      <c r="F190" s="25"/>
      <c r="G190" s="63"/>
      <c r="H190" s="25"/>
      <c r="I190" s="25"/>
      <c r="J190" s="26"/>
      <c r="K190" s="26"/>
      <c r="L190" s="26"/>
      <c r="M190" s="26"/>
      <c r="N190" s="26"/>
      <c r="O190" s="26"/>
      <c r="P190" s="26"/>
      <c r="Q190" s="26"/>
    </row>
    <row r="191" spans="2:17" x14ac:dyDescent="0.3">
      <c r="B191" s="25"/>
      <c r="C191" s="25"/>
      <c r="D191" s="63"/>
      <c r="E191" s="25"/>
      <c r="F191" s="25"/>
      <c r="G191" s="63"/>
      <c r="H191" s="25"/>
      <c r="I191" s="25"/>
      <c r="J191" s="26"/>
      <c r="K191" s="26"/>
      <c r="L191" s="26"/>
      <c r="M191" s="26"/>
      <c r="N191" s="26"/>
      <c r="O191" s="26"/>
      <c r="P191" s="26"/>
      <c r="Q191" s="26"/>
    </row>
    <row r="192" spans="2:17" x14ac:dyDescent="0.3">
      <c r="B192" s="25"/>
      <c r="C192" s="25"/>
      <c r="D192" s="63"/>
      <c r="E192" s="25"/>
      <c r="F192" s="25"/>
      <c r="G192" s="63"/>
      <c r="H192" s="25"/>
      <c r="I192" s="25"/>
      <c r="J192" s="26"/>
      <c r="K192" s="26"/>
      <c r="L192" s="26"/>
      <c r="M192" s="26"/>
      <c r="N192" s="26"/>
      <c r="O192" s="26"/>
      <c r="P192" s="26"/>
      <c r="Q192" s="26"/>
    </row>
    <row r="193" spans="2:17" x14ac:dyDescent="0.3">
      <c r="B193" s="25"/>
      <c r="C193" s="25"/>
      <c r="D193" s="63"/>
      <c r="E193" s="25"/>
      <c r="F193" s="25"/>
      <c r="G193" s="63"/>
      <c r="H193" s="25"/>
      <c r="I193" s="25"/>
      <c r="J193" s="26"/>
      <c r="K193" s="26"/>
      <c r="L193" s="26"/>
      <c r="M193" s="26"/>
      <c r="N193" s="26"/>
      <c r="O193" s="26"/>
      <c r="P193" s="26"/>
      <c r="Q193" s="26"/>
    </row>
    <row r="194" spans="2:17" x14ac:dyDescent="0.3">
      <c r="B194" s="25"/>
      <c r="C194" s="25"/>
      <c r="D194" s="63"/>
      <c r="E194" s="25"/>
      <c r="F194" s="25"/>
      <c r="G194" s="63"/>
      <c r="H194" s="25"/>
      <c r="I194" s="25"/>
      <c r="J194" s="26"/>
      <c r="K194" s="26"/>
      <c r="L194" s="26"/>
      <c r="M194" s="26"/>
      <c r="N194" s="26"/>
      <c r="O194" s="26"/>
      <c r="P194" s="26"/>
      <c r="Q194" s="26"/>
    </row>
    <row r="195" spans="2:17" x14ac:dyDescent="0.3">
      <c r="B195" s="25"/>
      <c r="C195" s="25"/>
      <c r="D195" s="63"/>
      <c r="E195" s="25"/>
      <c r="F195" s="25"/>
      <c r="G195" s="63"/>
      <c r="H195" s="25"/>
      <c r="I195" s="25"/>
      <c r="J195" s="26"/>
      <c r="K195" s="26"/>
      <c r="L195" s="26"/>
      <c r="M195" s="26"/>
      <c r="N195" s="26"/>
      <c r="O195" s="26"/>
      <c r="P195" s="26"/>
      <c r="Q195" s="26"/>
    </row>
    <row r="196" spans="2:17" x14ac:dyDescent="0.3">
      <c r="B196" s="25"/>
      <c r="C196" s="25"/>
      <c r="D196" s="63"/>
      <c r="E196" s="25"/>
      <c r="F196" s="25"/>
      <c r="G196" s="63"/>
      <c r="H196" s="25"/>
      <c r="I196" s="25"/>
      <c r="J196" s="26"/>
      <c r="K196" s="26"/>
      <c r="L196" s="26"/>
      <c r="M196" s="26"/>
      <c r="N196" s="26"/>
      <c r="O196" s="26"/>
      <c r="P196" s="26"/>
      <c r="Q196" s="26"/>
    </row>
    <row r="197" spans="2:17" x14ac:dyDescent="0.3">
      <c r="B197" s="25"/>
      <c r="C197" s="25"/>
      <c r="D197" s="63"/>
      <c r="E197" s="25"/>
      <c r="F197" s="25"/>
      <c r="G197" s="63"/>
      <c r="H197" s="25"/>
      <c r="I197" s="25"/>
      <c r="J197" s="26"/>
      <c r="K197" s="26"/>
      <c r="L197" s="26"/>
      <c r="M197" s="26"/>
      <c r="N197" s="26"/>
      <c r="O197" s="26"/>
      <c r="P197" s="26"/>
      <c r="Q197" s="26"/>
    </row>
    <row r="198" spans="2:17" x14ac:dyDescent="0.3">
      <c r="B198" s="25"/>
      <c r="C198" s="25"/>
      <c r="D198" s="63"/>
      <c r="E198" s="25"/>
      <c r="F198" s="25"/>
      <c r="G198" s="63"/>
      <c r="H198" s="25"/>
      <c r="I198" s="25"/>
      <c r="J198" s="26"/>
      <c r="K198" s="26"/>
      <c r="L198" s="26"/>
      <c r="M198" s="26"/>
      <c r="N198" s="26"/>
      <c r="O198" s="26"/>
      <c r="P198" s="26"/>
      <c r="Q198" s="26"/>
    </row>
    <row r="199" spans="2:17" x14ac:dyDescent="0.3">
      <c r="B199" s="25"/>
      <c r="C199" s="25"/>
      <c r="D199" s="63"/>
      <c r="E199" s="25"/>
      <c r="F199" s="25"/>
      <c r="G199" s="63"/>
      <c r="H199" s="25"/>
      <c r="I199" s="25"/>
      <c r="J199" s="26"/>
      <c r="K199" s="26"/>
      <c r="L199" s="26"/>
      <c r="M199" s="26"/>
      <c r="N199" s="26"/>
      <c r="O199" s="26"/>
      <c r="P199" s="26"/>
      <c r="Q199" s="26"/>
    </row>
    <row r="200" spans="2:17" x14ac:dyDescent="0.3">
      <c r="B200" s="25"/>
      <c r="C200" s="25"/>
      <c r="D200" s="63"/>
      <c r="E200" s="25"/>
      <c r="F200" s="25"/>
      <c r="G200" s="63"/>
      <c r="H200" s="25"/>
      <c r="I200" s="25"/>
      <c r="J200" s="26"/>
      <c r="K200" s="26"/>
      <c r="L200" s="26"/>
      <c r="M200" s="26"/>
      <c r="N200" s="26"/>
      <c r="O200" s="26"/>
      <c r="P200" s="26"/>
      <c r="Q200" s="26"/>
    </row>
    <row r="201" spans="2:17" x14ac:dyDescent="0.3">
      <c r="B201" s="25"/>
      <c r="C201" s="25"/>
      <c r="D201" s="63"/>
      <c r="E201" s="25"/>
      <c r="F201" s="25"/>
      <c r="G201" s="63"/>
      <c r="H201" s="25"/>
      <c r="I201" s="25"/>
      <c r="J201" s="26"/>
      <c r="K201" s="26"/>
      <c r="L201" s="26"/>
      <c r="M201" s="26"/>
      <c r="N201" s="26"/>
      <c r="O201" s="26"/>
      <c r="P201" s="26"/>
      <c r="Q201" s="26"/>
    </row>
    <row r="202" spans="2:17" x14ac:dyDescent="0.3">
      <c r="B202" s="25"/>
      <c r="C202" s="25"/>
      <c r="D202" s="63"/>
      <c r="E202" s="25"/>
      <c r="F202" s="25"/>
      <c r="G202" s="63"/>
      <c r="H202" s="25"/>
      <c r="I202" s="25"/>
      <c r="J202" s="26"/>
      <c r="K202" s="26"/>
      <c r="L202" s="26"/>
      <c r="M202" s="26"/>
      <c r="N202" s="26"/>
      <c r="O202" s="26"/>
      <c r="P202" s="26"/>
      <c r="Q202" s="26"/>
    </row>
    <row r="203" spans="2:17" x14ac:dyDescent="0.3">
      <c r="B203" s="25"/>
      <c r="C203" s="25"/>
      <c r="D203" s="63"/>
      <c r="E203" s="25"/>
      <c r="F203" s="25"/>
      <c r="G203" s="63"/>
      <c r="H203" s="25"/>
      <c r="I203" s="25"/>
      <c r="J203" s="26"/>
      <c r="K203" s="26"/>
      <c r="L203" s="26"/>
      <c r="M203" s="26"/>
      <c r="N203" s="26"/>
      <c r="O203" s="26"/>
      <c r="P203" s="26"/>
      <c r="Q203" s="26"/>
    </row>
    <row r="204" spans="2:17" x14ac:dyDescent="0.3">
      <c r="B204" s="25"/>
      <c r="C204" s="25"/>
      <c r="D204" s="63"/>
      <c r="E204" s="25"/>
      <c r="F204" s="25"/>
      <c r="G204" s="63"/>
      <c r="H204" s="25"/>
      <c r="I204" s="25"/>
      <c r="J204" s="26"/>
      <c r="K204" s="26"/>
      <c r="L204" s="26"/>
      <c r="M204" s="26"/>
      <c r="N204" s="26"/>
      <c r="O204" s="26"/>
      <c r="P204" s="26"/>
      <c r="Q204" s="26"/>
    </row>
    <row r="205" spans="2:17" x14ac:dyDescent="0.3">
      <c r="B205" s="25"/>
      <c r="C205" s="25"/>
      <c r="D205" s="63"/>
      <c r="E205" s="25"/>
      <c r="F205" s="25"/>
      <c r="G205" s="63"/>
      <c r="H205" s="25"/>
      <c r="I205" s="25"/>
      <c r="J205" s="26"/>
      <c r="K205" s="26"/>
      <c r="L205" s="26"/>
      <c r="M205" s="26"/>
      <c r="N205" s="26"/>
      <c r="O205" s="26"/>
      <c r="P205" s="26"/>
      <c r="Q205" s="26"/>
    </row>
    <row r="206" spans="2:17" x14ac:dyDescent="0.3">
      <c r="B206" s="25"/>
      <c r="C206" s="25"/>
      <c r="D206" s="63"/>
      <c r="E206" s="25"/>
      <c r="F206" s="25"/>
      <c r="G206" s="63"/>
      <c r="H206" s="25"/>
      <c r="I206" s="25"/>
      <c r="J206" s="26"/>
      <c r="K206" s="26"/>
      <c r="L206" s="26"/>
      <c r="M206" s="26"/>
      <c r="N206" s="26"/>
      <c r="O206" s="26"/>
      <c r="P206" s="26"/>
      <c r="Q206" s="26"/>
    </row>
    <row r="207" spans="2:17" x14ac:dyDescent="0.3">
      <c r="B207" s="25"/>
      <c r="C207" s="25"/>
      <c r="D207" s="63"/>
      <c r="E207" s="25"/>
      <c r="F207" s="25"/>
      <c r="G207" s="63"/>
      <c r="H207" s="25"/>
      <c r="I207" s="25"/>
      <c r="J207" s="26"/>
      <c r="K207" s="26"/>
      <c r="L207" s="26"/>
      <c r="M207" s="26"/>
      <c r="N207" s="26"/>
      <c r="O207" s="26"/>
      <c r="P207" s="26"/>
      <c r="Q207" s="26"/>
    </row>
    <row r="208" spans="2:17" x14ac:dyDescent="0.3">
      <c r="B208" s="25"/>
      <c r="C208" s="25"/>
      <c r="D208" s="63"/>
      <c r="E208" s="25"/>
      <c r="F208" s="25"/>
      <c r="G208" s="63"/>
      <c r="H208" s="25"/>
      <c r="I208" s="25"/>
      <c r="J208" s="26"/>
      <c r="K208" s="26"/>
      <c r="L208" s="26"/>
      <c r="M208" s="26"/>
      <c r="N208" s="26"/>
      <c r="O208" s="26"/>
      <c r="P208" s="26"/>
      <c r="Q208" s="26"/>
    </row>
    <row r="209" spans="2:17" x14ac:dyDescent="0.3">
      <c r="B209" s="25"/>
      <c r="C209" s="25"/>
      <c r="D209" s="63"/>
      <c r="E209" s="25"/>
      <c r="F209" s="25"/>
      <c r="G209" s="63"/>
      <c r="H209" s="25"/>
      <c r="I209" s="25"/>
      <c r="J209" s="26"/>
      <c r="K209" s="26"/>
      <c r="L209" s="26"/>
      <c r="M209" s="26"/>
      <c r="N209" s="26"/>
      <c r="O209" s="26"/>
      <c r="P209" s="26"/>
      <c r="Q209" s="26"/>
    </row>
    <row r="210" spans="2:17" x14ac:dyDescent="0.3">
      <c r="B210" s="25"/>
      <c r="C210" s="25"/>
      <c r="D210" s="63"/>
      <c r="E210" s="25"/>
      <c r="F210" s="25"/>
      <c r="G210" s="63"/>
      <c r="H210" s="25"/>
      <c r="I210" s="25"/>
      <c r="J210" s="26"/>
      <c r="K210" s="26"/>
      <c r="L210" s="26"/>
      <c r="M210" s="26"/>
      <c r="N210" s="26"/>
      <c r="O210" s="26"/>
      <c r="P210" s="26"/>
      <c r="Q210" s="26"/>
    </row>
    <row r="211" spans="2:17" x14ac:dyDescent="0.3">
      <c r="B211" s="25"/>
      <c r="C211" s="25"/>
      <c r="D211" s="63"/>
      <c r="E211" s="25"/>
      <c r="F211" s="25"/>
      <c r="G211" s="63"/>
      <c r="H211" s="25"/>
      <c r="I211" s="25"/>
      <c r="J211" s="26"/>
      <c r="K211" s="26"/>
      <c r="L211" s="26"/>
      <c r="M211" s="26"/>
      <c r="N211" s="26"/>
      <c r="O211" s="26"/>
      <c r="P211" s="26"/>
      <c r="Q211" s="26"/>
    </row>
    <row r="212" spans="2:17" x14ac:dyDescent="0.3">
      <c r="B212" s="25"/>
      <c r="C212" s="25"/>
      <c r="D212" s="63"/>
      <c r="E212" s="25"/>
      <c r="F212" s="25"/>
      <c r="G212" s="63"/>
      <c r="H212" s="25"/>
      <c r="I212" s="25"/>
      <c r="J212" s="26"/>
      <c r="K212" s="26"/>
      <c r="L212" s="26"/>
      <c r="M212" s="26"/>
      <c r="N212" s="26"/>
      <c r="O212" s="26"/>
      <c r="P212" s="26"/>
      <c r="Q212" s="26"/>
    </row>
    <row r="213" spans="2:17" x14ac:dyDescent="0.3">
      <c r="B213" s="25"/>
      <c r="C213" s="25"/>
      <c r="D213" s="63"/>
      <c r="E213" s="25"/>
      <c r="F213" s="25"/>
      <c r="G213" s="63"/>
      <c r="H213" s="25"/>
      <c r="I213" s="25"/>
      <c r="J213" s="26"/>
      <c r="K213" s="26"/>
      <c r="L213" s="26"/>
      <c r="M213" s="26"/>
      <c r="N213" s="26"/>
      <c r="O213" s="26"/>
      <c r="P213" s="26"/>
      <c r="Q213" s="26"/>
    </row>
    <row r="214" spans="2:17" x14ac:dyDescent="0.3">
      <c r="B214" s="25"/>
      <c r="C214" s="25"/>
      <c r="D214" s="63"/>
      <c r="E214" s="25"/>
      <c r="F214" s="25"/>
      <c r="G214" s="63"/>
      <c r="H214" s="25"/>
      <c r="I214" s="25"/>
      <c r="J214" s="26"/>
      <c r="K214" s="26"/>
      <c r="L214" s="26"/>
      <c r="M214" s="26"/>
      <c r="N214" s="26"/>
      <c r="O214" s="26"/>
      <c r="P214" s="26"/>
      <c r="Q214" s="26"/>
    </row>
    <row r="215" spans="2:17" x14ac:dyDescent="0.3">
      <c r="B215" s="25"/>
      <c r="C215" s="25"/>
      <c r="D215" s="63"/>
      <c r="E215" s="25"/>
      <c r="F215" s="25"/>
      <c r="G215" s="63"/>
      <c r="H215" s="25"/>
      <c r="I215" s="25"/>
      <c r="J215" s="26"/>
      <c r="K215" s="26"/>
      <c r="L215" s="26"/>
      <c r="M215" s="26"/>
      <c r="N215" s="26"/>
      <c r="O215" s="26"/>
      <c r="P215" s="26"/>
      <c r="Q215" s="26"/>
    </row>
    <row r="216" spans="2:17" x14ac:dyDescent="0.3">
      <c r="B216" s="25"/>
      <c r="C216" s="25"/>
      <c r="D216" s="63"/>
      <c r="E216" s="25"/>
      <c r="F216" s="25"/>
      <c r="G216" s="63"/>
      <c r="H216" s="25"/>
      <c r="I216" s="25"/>
      <c r="J216" s="26"/>
      <c r="K216" s="26"/>
      <c r="L216" s="26"/>
      <c r="M216" s="26"/>
      <c r="N216" s="26"/>
      <c r="O216" s="26"/>
      <c r="P216" s="26"/>
      <c r="Q216" s="26"/>
    </row>
    <row r="217" spans="2:17" x14ac:dyDescent="0.3">
      <c r="B217" s="25"/>
      <c r="C217" s="25"/>
      <c r="D217" s="63"/>
      <c r="E217" s="25"/>
      <c r="F217" s="25"/>
      <c r="G217" s="63"/>
      <c r="H217" s="25"/>
      <c r="I217" s="25"/>
      <c r="J217" s="26"/>
      <c r="K217" s="26"/>
      <c r="L217" s="26"/>
      <c r="M217" s="26"/>
      <c r="N217" s="26"/>
      <c r="O217" s="26"/>
      <c r="P217" s="26"/>
      <c r="Q217" s="26"/>
    </row>
    <row r="218" spans="2:17" x14ac:dyDescent="0.3">
      <c r="B218" s="25"/>
      <c r="C218" s="25"/>
      <c r="D218" s="63"/>
      <c r="E218" s="25"/>
      <c r="F218" s="25"/>
      <c r="G218" s="63"/>
      <c r="H218" s="25"/>
      <c r="I218" s="25"/>
      <c r="J218" s="26"/>
      <c r="K218" s="26"/>
      <c r="L218" s="26"/>
      <c r="M218" s="26"/>
      <c r="N218" s="26"/>
      <c r="O218" s="26"/>
      <c r="P218" s="26"/>
      <c r="Q218" s="26"/>
    </row>
    <row r="219" spans="2:17" x14ac:dyDescent="0.3">
      <c r="B219" s="25"/>
      <c r="C219" s="25"/>
      <c r="D219" s="63"/>
      <c r="E219" s="25"/>
      <c r="F219" s="25"/>
      <c r="G219" s="63"/>
      <c r="H219" s="25"/>
      <c r="I219" s="25"/>
      <c r="J219" s="26"/>
      <c r="K219" s="26"/>
      <c r="L219" s="26"/>
      <c r="M219" s="26"/>
      <c r="N219" s="26"/>
      <c r="O219" s="26"/>
      <c r="P219" s="26"/>
      <c r="Q219" s="26"/>
    </row>
    <row r="220" spans="2:17" x14ac:dyDescent="0.3">
      <c r="B220" s="25"/>
      <c r="C220" s="25"/>
      <c r="D220" s="63"/>
      <c r="E220" s="25"/>
      <c r="F220" s="25"/>
      <c r="G220" s="63"/>
      <c r="H220" s="25"/>
      <c r="I220" s="25"/>
      <c r="J220" s="26"/>
      <c r="K220" s="26"/>
      <c r="L220" s="26"/>
      <c r="M220" s="26"/>
      <c r="N220" s="26"/>
      <c r="O220" s="26"/>
      <c r="P220" s="26"/>
      <c r="Q220" s="26"/>
    </row>
    <row r="221" spans="2:17" x14ac:dyDescent="0.3">
      <c r="B221" s="25"/>
      <c r="C221" s="25"/>
      <c r="D221" s="63"/>
      <c r="E221" s="25"/>
      <c r="F221" s="25"/>
      <c r="G221" s="63"/>
      <c r="H221" s="25"/>
      <c r="I221" s="25"/>
      <c r="J221" s="26"/>
      <c r="K221" s="26"/>
      <c r="L221" s="26"/>
      <c r="M221" s="26"/>
      <c r="N221" s="26"/>
      <c r="O221" s="26"/>
      <c r="P221" s="26"/>
      <c r="Q221" s="26"/>
    </row>
    <row r="222" spans="2:17" x14ac:dyDescent="0.3">
      <c r="B222" s="25"/>
      <c r="C222" s="25"/>
      <c r="D222" s="63"/>
      <c r="E222" s="25"/>
      <c r="F222" s="25"/>
      <c r="G222" s="63"/>
      <c r="H222" s="25"/>
      <c r="I222" s="25"/>
      <c r="J222" s="26"/>
      <c r="K222" s="26"/>
      <c r="L222" s="26"/>
      <c r="M222" s="26"/>
      <c r="N222" s="26"/>
      <c r="O222" s="26"/>
      <c r="P222" s="26"/>
      <c r="Q222" s="26"/>
    </row>
    <row r="223" spans="2:17" x14ac:dyDescent="0.3">
      <c r="B223" s="25"/>
      <c r="C223" s="25"/>
      <c r="D223" s="63"/>
      <c r="E223" s="25"/>
      <c r="F223" s="25"/>
      <c r="G223" s="63"/>
      <c r="H223" s="25"/>
      <c r="I223" s="25"/>
      <c r="J223" s="26"/>
      <c r="K223" s="26"/>
      <c r="L223" s="26"/>
      <c r="M223" s="26"/>
      <c r="N223" s="26"/>
      <c r="O223" s="26"/>
      <c r="P223" s="26"/>
      <c r="Q223" s="26"/>
    </row>
    <row r="224" spans="2:17" x14ac:dyDescent="0.3">
      <c r="B224" s="25"/>
      <c r="C224" s="25"/>
      <c r="D224" s="63"/>
      <c r="E224" s="25"/>
      <c r="F224" s="25"/>
      <c r="G224" s="63"/>
      <c r="H224" s="25"/>
      <c r="I224" s="25"/>
      <c r="J224" s="26"/>
      <c r="K224" s="26"/>
      <c r="L224" s="26"/>
      <c r="M224" s="26"/>
      <c r="N224" s="26"/>
      <c r="O224" s="26"/>
      <c r="P224" s="26"/>
      <c r="Q224" s="26"/>
    </row>
    <row r="225" spans="2:17" x14ac:dyDescent="0.3">
      <c r="B225" s="25"/>
      <c r="C225" s="25"/>
      <c r="D225" s="63"/>
      <c r="E225" s="25"/>
      <c r="F225" s="25"/>
      <c r="G225" s="63"/>
      <c r="H225" s="25"/>
      <c r="I225" s="25"/>
      <c r="J225" s="26"/>
      <c r="K225" s="26"/>
      <c r="L225" s="26"/>
      <c r="M225" s="26"/>
      <c r="N225" s="26"/>
      <c r="O225" s="26"/>
      <c r="P225" s="26"/>
      <c r="Q225" s="26"/>
    </row>
    <row r="226" spans="2:17" x14ac:dyDescent="0.3">
      <c r="B226" s="25"/>
      <c r="C226" s="25"/>
      <c r="D226" s="63"/>
      <c r="E226" s="25"/>
      <c r="F226" s="25"/>
      <c r="G226" s="63"/>
      <c r="H226" s="25"/>
      <c r="I226" s="25"/>
      <c r="J226" s="26"/>
      <c r="K226" s="26"/>
      <c r="L226" s="26"/>
      <c r="M226" s="26"/>
      <c r="N226" s="26"/>
      <c r="O226" s="26"/>
      <c r="P226" s="26"/>
      <c r="Q226" s="26"/>
    </row>
    <row r="227" spans="2:17" x14ac:dyDescent="0.3">
      <c r="B227" s="25"/>
      <c r="C227" s="25"/>
      <c r="D227" s="63"/>
      <c r="E227" s="25"/>
      <c r="F227" s="25"/>
      <c r="G227" s="63"/>
      <c r="H227" s="25"/>
      <c r="I227" s="25"/>
      <c r="J227" s="26"/>
      <c r="K227" s="26"/>
      <c r="L227" s="26"/>
      <c r="M227" s="26"/>
      <c r="N227" s="26"/>
      <c r="O227" s="26"/>
      <c r="P227" s="26"/>
      <c r="Q227" s="26"/>
    </row>
    <row r="228" spans="2:17" x14ac:dyDescent="0.3">
      <c r="B228" s="25"/>
      <c r="C228" s="25"/>
      <c r="D228" s="63"/>
      <c r="E228" s="25"/>
      <c r="F228" s="25"/>
      <c r="G228" s="63"/>
      <c r="H228" s="25"/>
      <c r="I228" s="25"/>
      <c r="J228" s="26"/>
      <c r="K228" s="26"/>
      <c r="L228" s="26"/>
      <c r="M228" s="26"/>
      <c r="N228" s="26"/>
      <c r="O228" s="26"/>
      <c r="P228" s="26"/>
      <c r="Q228" s="26"/>
    </row>
    <row r="229" spans="2:17" x14ac:dyDescent="0.3">
      <c r="B229" s="25"/>
      <c r="C229" s="25"/>
      <c r="D229" s="63"/>
      <c r="E229" s="25"/>
      <c r="F229" s="25"/>
      <c r="G229" s="63"/>
      <c r="H229" s="25"/>
      <c r="I229" s="25"/>
      <c r="J229" s="26"/>
      <c r="K229" s="26"/>
      <c r="L229" s="26"/>
      <c r="M229" s="26"/>
      <c r="N229" s="26"/>
      <c r="O229" s="26"/>
      <c r="P229" s="26"/>
      <c r="Q229" s="26"/>
    </row>
    <row r="230" spans="2:17" x14ac:dyDescent="0.3">
      <c r="B230" s="25"/>
      <c r="C230" s="25"/>
      <c r="D230" s="63"/>
      <c r="E230" s="25"/>
      <c r="F230" s="25"/>
      <c r="G230" s="63"/>
      <c r="H230" s="25"/>
      <c r="I230" s="25"/>
      <c r="J230" s="26"/>
      <c r="K230" s="26"/>
      <c r="L230" s="26"/>
      <c r="M230" s="26"/>
      <c r="N230" s="26"/>
      <c r="O230" s="26"/>
      <c r="P230" s="26"/>
      <c r="Q230" s="26"/>
    </row>
    <row r="231" spans="2:17" x14ac:dyDescent="0.3">
      <c r="B231" s="25"/>
      <c r="C231" s="25"/>
      <c r="D231" s="63"/>
      <c r="E231" s="25"/>
      <c r="F231" s="25"/>
      <c r="G231" s="63"/>
      <c r="H231" s="25"/>
      <c r="I231" s="25"/>
      <c r="J231" s="26"/>
      <c r="K231" s="26"/>
      <c r="L231" s="26"/>
      <c r="M231" s="26"/>
      <c r="N231" s="26"/>
      <c r="O231" s="26"/>
      <c r="P231" s="26"/>
      <c r="Q231" s="26"/>
    </row>
    <row r="232" spans="2:17" x14ac:dyDescent="0.3">
      <c r="B232" s="25"/>
      <c r="C232" s="25"/>
      <c r="D232" s="63"/>
      <c r="E232" s="25"/>
      <c r="F232" s="25"/>
      <c r="G232" s="63"/>
      <c r="H232" s="25"/>
      <c r="I232" s="25"/>
      <c r="J232" s="26"/>
      <c r="K232" s="26"/>
      <c r="L232" s="26"/>
      <c r="M232" s="26"/>
      <c r="N232" s="26"/>
      <c r="O232" s="26"/>
      <c r="P232" s="26"/>
      <c r="Q232" s="26"/>
    </row>
    <row r="233" spans="2:17" x14ac:dyDescent="0.3">
      <c r="B233" s="25"/>
      <c r="C233" s="25"/>
      <c r="D233" s="63"/>
      <c r="E233" s="25"/>
      <c r="F233" s="25"/>
      <c r="G233" s="63"/>
      <c r="H233" s="25"/>
      <c r="I233" s="25"/>
      <c r="J233" s="26"/>
      <c r="K233" s="26"/>
      <c r="L233" s="26"/>
      <c r="M233" s="26"/>
      <c r="N233" s="26"/>
      <c r="O233" s="26"/>
      <c r="P233" s="26"/>
      <c r="Q233" s="26"/>
    </row>
    <row r="234" spans="2:17" x14ac:dyDescent="0.3">
      <c r="B234" s="25"/>
      <c r="C234" s="25"/>
      <c r="D234" s="63"/>
      <c r="E234" s="25"/>
      <c r="F234" s="25"/>
      <c r="G234" s="63"/>
      <c r="H234" s="25"/>
      <c r="I234" s="25"/>
      <c r="J234" s="26"/>
      <c r="K234" s="26"/>
      <c r="L234" s="26"/>
      <c r="M234" s="26"/>
      <c r="N234" s="26"/>
      <c r="O234" s="26"/>
      <c r="P234" s="26"/>
      <c r="Q234" s="26"/>
    </row>
    <row r="235" spans="2:17" x14ac:dyDescent="0.3">
      <c r="B235" s="25"/>
      <c r="C235" s="25"/>
      <c r="D235" s="63"/>
      <c r="E235" s="25"/>
      <c r="F235" s="25"/>
      <c r="G235" s="63"/>
      <c r="H235" s="25"/>
      <c r="I235" s="25"/>
      <c r="J235" s="26"/>
      <c r="K235" s="26"/>
      <c r="L235" s="26"/>
      <c r="M235" s="26"/>
      <c r="N235" s="26"/>
      <c r="O235" s="26"/>
      <c r="P235" s="26"/>
      <c r="Q235" s="26"/>
    </row>
    <row r="236" spans="2:17" x14ac:dyDescent="0.3">
      <c r="B236" s="25"/>
      <c r="C236" s="25"/>
      <c r="D236" s="63"/>
      <c r="E236" s="25"/>
      <c r="F236" s="25"/>
      <c r="G236" s="63"/>
      <c r="H236" s="25"/>
      <c r="I236" s="25"/>
      <c r="J236" s="26"/>
      <c r="K236" s="26"/>
      <c r="L236" s="26"/>
      <c r="M236" s="26"/>
      <c r="N236" s="26"/>
      <c r="O236" s="26"/>
      <c r="P236" s="26"/>
      <c r="Q236" s="26"/>
    </row>
    <row r="237" spans="2:17" x14ac:dyDescent="0.3">
      <c r="B237" s="25"/>
      <c r="C237" s="25"/>
      <c r="D237" s="63"/>
      <c r="E237" s="25"/>
      <c r="F237" s="25"/>
      <c r="G237" s="63"/>
      <c r="H237" s="25"/>
      <c r="I237" s="25"/>
      <c r="J237" s="26"/>
      <c r="K237" s="26"/>
      <c r="L237" s="26"/>
      <c r="M237" s="26"/>
      <c r="N237" s="26"/>
      <c r="O237" s="26"/>
      <c r="P237" s="26"/>
      <c r="Q237" s="26"/>
    </row>
    <row r="238" spans="2:17" x14ac:dyDescent="0.3">
      <c r="B238" s="25"/>
      <c r="C238" s="25"/>
      <c r="D238" s="63"/>
      <c r="E238" s="25"/>
      <c r="F238" s="25"/>
      <c r="G238" s="63"/>
      <c r="H238" s="25"/>
      <c r="I238" s="25"/>
      <c r="J238" s="26"/>
      <c r="K238" s="26"/>
      <c r="L238" s="26"/>
      <c r="M238" s="26"/>
      <c r="N238" s="26"/>
      <c r="O238" s="26"/>
      <c r="P238" s="26"/>
      <c r="Q238" s="26"/>
    </row>
    <row r="239" spans="2:17" x14ac:dyDescent="0.3">
      <c r="B239" s="25"/>
      <c r="C239" s="25"/>
      <c r="D239" s="63"/>
      <c r="E239" s="25"/>
      <c r="F239" s="25"/>
      <c r="G239" s="63"/>
      <c r="H239" s="25"/>
      <c r="I239" s="25"/>
      <c r="J239" s="26"/>
      <c r="K239" s="26"/>
      <c r="L239" s="26"/>
      <c r="M239" s="26"/>
      <c r="N239" s="26"/>
      <c r="O239" s="26"/>
      <c r="P239" s="26"/>
      <c r="Q239" s="26"/>
    </row>
    <row r="240" spans="2:17" x14ac:dyDescent="0.3">
      <c r="B240" s="25"/>
      <c r="C240" s="25"/>
      <c r="D240" s="63"/>
      <c r="E240" s="25"/>
      <c r="F240" s="25"/>
      <c r="G240" s="63"/>
      <c r="H240" s="25"/>
      <c r="I240" s="25"/>
      <c r="J240" s="26"/>
      <c r="K240" s="26"/>
      <c r="L240" s="26"/>
      <c r="M240" s="26"/>
      <c r="N240" s="26"/>
      <c r="O240" s="26"/>
      <c r="P240" s="26"/>
      <c r="Q240" s="26"/>
    </row>
    <row r="241" spans="2:17" x14ac:dyDescent="0.3">
      <c r="B241" s="25"/>
      <c r="C241" s="25"/>
      <c r="D241" s="63"/>
      <c r="E241" s="25"/>
      <c r="F241" s="25"/>
      <c r="G241" s="63"/>
      <c r="H241" s="25"/>
      <c r="I241" s="25"/>
      <c r="J241" s="26"/>
      <c r="K241" s="26"/>
      <c r="L241" s="26"/>
      <c r="M241" s="26"/>
      <c r="N241" s="26"/>
      <c r="O241" s="26"/>
      <c r="P241" s="26"/>
      <c r="Q241" s="26"/>
    </row>
    <row r="242" spans="2:17" x14ac:dyDescent="0.3">
      <c r="B242" s="25"/>
      <c r="C242" s="25"/>
      <c r="D242" s="63"/>
      <c r="E242" s="25"/>
      <c r="F242" s="25"/>
      <c r="G242" s="63"/>
      <c r="H242" s="25"/>
      <c r="I242" s="25"/>
      <c r="J242" s="26"/>
      <c r="K242" s="26"/>
      <c r="L242" s="26"/>
      <c r="M242" s="26"/>
      <c r="N242" s="26"/>
      <c r="O242" s="26"/>
      <c r="P242" s="26"/>
      <c r="Q242" s="26"/>
    </row>
    <row r="243" spans="2:17" x14ac:dyDescent="0.3">
      <c r="B243" s="25"/>
      <c r="C243" s="25"/>
      <c r="D243" s="63"/>
      <c r="E243" s="25"/>
      <c r="F243" s="25"/>
      <c r="G243" s="63"/>
      <c r="H243" s="25"/>
      <c r="I243" s="25"/>
      <c r="J243" s="26"/>
      <c r="K243" s="26"/>
      <c r="L243" s="26"/>
      <c r="M243" s="26"/>
      <c r="N243" s="26"/>
      <c r="O243" s="26"/>
      <c r="P243" s="26"/>
      <c r="Q243" s="26"/>
    </row>
    <row r="244" spans="2:17" x14ac:dyDescent="0.3">
      <c r="B244" s="25"/>
      <c r="C244" s="25"/>
      <c r="D244" s="63"/>
      <c r="E244" s="25"/>
      <c r="F244" s="25"/>
      <c r="G244" s="63"/>
      <c r="H244" s="25"/>
      <c r="I244" s="25"/>
      <c r="J244" s="26"/>
      <c r="K244" s="26"/>
      <c r="L244" s="26"/>
      <c r="M244" s="26"/>
      <c r="N244" s="26"/>
      <c r="O244" s="26"/>
      <c r="P244" s="26"/>
      <c r="Q244" s="26"/>
    </row>
    <row r="245" spans="2:17" x14ac:dyDescent="0.3">
      <c r="B245" s="25"/>
      <c r="C245" s="25"/>
      <c r="D245" s="63"/>
      <c r="E245" s="25"/>
      <c r="F245" s="25"/>
      <c r="G245" s="63"/>
      <c r="H245" s="25"/>
      <c r="I245" s="25"/>
      <c r="J245" s="26"/>
      <c r="K245" s="26"/>
      <c r="L245" s="26"/>
      <c r="M245" s="26"/>
      <c r="N245" s="26"/>
      <c r="O245" s="26"/>
      <c r="P245" s="26"/>
      <c r="Q245" s="26"/>
    </row>
    <row r="246" spans="2:17" x14ac:dyDescent="0.3">
      <c r="B246" s="25"/>
      <c r="C246" s="25"/>
      <c r="D246" s="63"/>
      <c r="E246" s="25"/>
      <c r="F246" s="25"/>
      <c r="G246" s="63"/>
      <c r="H246" s="25"/>
      <c r="I246" s="25"/>
      <c r="J246" s="26"/>
      <c r="K246" s="26"/>
      <c r="L246" s="26"/>
      <c r="M246" s="26"/>
      <c r="N246" s="26"/>
      <c r="O246" s="26"/>
      <c r="P246" s="26"/>
      <c r="Q246" s="26"/>
    </row>
    <row r="247" spans="2:17" x14ac:dyDescent="0.3">
      <c r="B247" s="25"/>
      <c r="C247" s="25"/>
      <c r="D247" s="63"/>
      <c r="E247" s="25"/>
      <c r="F247" s="25"/>
      <c r="G247" s="63"/>
      <c r="H247" s="25"/>
      <c r="I247" s="25"/>
      <c r="J247" s="26"/>
      <c r="K247" s="26"/>
      <c r="L247" s="26"/>
      <c r="M247" s="26"/>
      <c r="N247" s="26"/>
      <c r="O247" s="26"/>
      <c r="P247" s="26"/>
      <c r="Q247" s="26"/>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I180"/>
  <sheetViews>
    <sheetView workbookViewId="0">
      <selection activeCell="A6" sqref="A6"/>
    </sheetView>
  </sheetViews>
  <sheetFormatPr defaultColWidth="9.1796875" defaultRowHeight="10.5" outlineLevelRow="4" x14ac:dyDescent="0.25"/>
  <cols>
    <col min="1" max="1" width="52" style="8" customWidth="1"/>
    <col min="2" max="4" width="16.26953125" style="9" customWidth="1"/>
    <col min="5" max="5" width="9.1796875" style="8" customWidth="1"/>
    <col min="6" max="16384" width="9.1796875" style="8"/>
  </cols>
  <sheetData>
    <row r="1" spans="1:9" s="22" customFormat="1" ht="18.5" x14ac:dyDescent="0.3">
      <c r="A1" s="1"/>
      <c r="B1" s="1"/>
      <c r="C1" s="1"/>
      <c r="D1" s="1"/>
    </row>
    <row r="2" spans="1:9" s="22" customFormat="1" ht="18.5" x14ac:dyDescent="0.3">
      <c r="A2" s="1"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1"/>
      <c r="C2" s="1"/>
      <c r="D2" s="1"/>
      <c r="E2" s="7"/>
      <c r="F2" s="7"/>
      <c r="G2" s="7"/>
      <c r="H2" s="7"/>
      <c r="I2" s="7"/>
    </row>
    <row r="3" spans="1:9" s="22" customFormat="1" ht="13" x14ac:dyDescent="0.3">
      <c r="A3" s="24"/>
      <c r="B3" s="23"/>
      <c r="C3" s="23"/>
      <c r="D3" s="23"/>
    </row>
    <row r="4" spans="1:9" s="27" customFormat="1" ht="13" x14ac:dyDescent="0.3">
      <c r="B4" s="28"/>
      <c r="C4" s="28"/>
      <c r="D4" s="28" t="str">
        <f>VALUAH</f>
        <v>млрд. грн</v>
      </c>
    </row>
    <row r="5" spans="1:9" s="14" customFormat="1" ht="13" x14ac:dyDescent="0.25">
      <c r="A5" s="12"/>
      <c r="B5" s="13">
        <v>45657</v>
      </c>
      <c r="C5" s="13">
        <v>45688</v>
      </c>
      <c r="D5" s="13">
        <v>45716</v>
      </c>
    </row>
    <row r="6" spans="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B$80+B$7</f>
        <v>6980.9648657455909</v>
      </c>
      <c r="C6" s="21">
        <f>C$80+C$7</f>
        <v>7068.0134176093798</v>
      </c>
      <c r="D6" s="21">
        <f>D$80+D$7</f>
        <v>7019.5348415889603</v>
      </c>
    </row>
    <row r="7" spans="1:9" s="127" customFormat="1" ht="14.5" outlineLevel="1" x14ac:dyDescent="0.25">
      <c r="A7" s="168" t="s">
        <v>1</v>
      </c>
      <c r="B7" s="169">
        <f>B$8+B$43</f>
        <v>6692.4537564279808</v>
      </c>
      <c r="C7" s="169">
        <f>C$8+C$43</f>
        <v>6778.89768375925</v>
      </c>
      <c r="D7" s="169">
        <f>D$8+D$43</f>
        <v>6740.16284326606</v>
      </c>
    </row>
    <row r="8" spans="1:9" s="17" customFormat="1" ht="14.5" outlineLevel="2" x14ac:dyDescent="0.25">
      <c r="A8" s="170" t="s">
        <v>57</v>
      </c>
      <c r="B8" s="171">
        <f>B$9+B$41</f>
        <v>1863.132117454179</v>
      </c>
      <c r="C8" s="171">
        <f>C$9+C$41</f>
        <v>1855.0953091999793</v>
      </c>
      <c r="D8" s="171">
        <f>D$9+D$41</f>
        <v>1839.6172841585794</v>
      </c>
    </row>
    <row r="9" spans="1:9" s="18" customFormat="1" ht="13" outlineLevel="3" x14ac:dyDescent="0.25">
      <c r="A9" s="172" t="s">
        <v>58</v>
      </c>
      <c r="B9" s="173">
        <f>SUM(B$10:B$40)</f>
        <v>1861.6773397063989</v>
      </c>
      <c r="C9" s="173">
        <f>SUM(C$10:C$40)</f>
        <v>1853.6405314521992</v>
      </c>
      <c r="D9" s="173">
        <f>SUM(D$10:D$40)</f>
        <v>1838.1625064107993</v>
      </c>
    </row>
    <row r="10" spans="1:9" s="20" customFormat="1" ht="13" outlineLevel="4" x14ac:dyDescent="0.25">
      <c r="A10" s="174" t="s">
        <v>59</v>
      </c>
      <c r="B10" s="166">
        <v>58.630439000000003</v>
      </c>
      <c r="C10" s="166">
        <v>58.630439000000003</v>
      </c>
      <c r="D10" s="166">
        <v>58.630439000000003</v>
      </c>
    </row>
    <row r="11" spans="1:9" ht="13" outlineLevel="4" x14ac:dyDescent="0.3">
      <c r="A11" s="175" t="s">
        <v>60</v>
      </c>
      <c r="B11" s="176">
        <v>17.533000000000001</v>
      </c>
      <c r="C11" s="176">
        <v>17.533000000000001</v>
      </c>
      <c r="D11" s="176">
        <v>17.533000000000001</v>
      </c>
      <c r="E11" s="11"/>
      <c r="F11" s="11"/>
      <c r="G11" s="11"/>
    </row>
    <row r="12" spans="1:9" ht="13" outlineLevel="4" x14ac:dyDescent="0.3">
      <c r="A12" s="175" t="s">
        <v>61</v>
      </c>
      <c r="B12" s="176">
        <v>3.8132242193999999</v>
      </c>
      <c r="C12" s="176">
        <v>3.7770335472999998</v>
      </c>
      <c r="D12" s="176">
        <v>3.7756880077999999</v>
      </c>
      <c r="E12" s="11"/>
      <c r="F12" s="11"/>
      <c r="G12" s="11"/>
    </row>
    <row r="13" spans="1:9" ht="13" outlineLevel="4" x14ac:dyDescent="0.3">
      <c r="A13" s="175" t="s">
        <v>62</v>
      </c>
      <c r="B13" s="176">
        <v>50</v>
      </c>
      <c r="C13" s="176">
        <v>50</v>
      </c>
      <c r="D13" s="176">
        <v>50</v>
      </c>
      <c r="E13" s="11"/>
      <c r="F13" s="11"/>
      <c r="G13" s="11"/>
    </row>
    <row r="14" spans="1:9" ht="13" outlineLevel="4" x14ac:dyDescent="0.3">
      <c r="A14" s="175" t="s">
        <v>63</v>
      </c>
      <c r="B14" s="176">
        <v>33.700001</v>
      </c>
      <c r="C14" s="176">
        <v>33.700001</v>
      </c>
      <c r="D14" s="176">
        <v>33.700001</v>
      </c>
      <c r="E14" s="11"/>
      <c r="F14" s="11"/>
      <c r="G14" s="11"/>
    </row>
    <row r="15" spans="1:9" ht="13" outlineLevel="4" x14ac:dyDescent="0.3">
      <c r="A15" s="175" t="s">
        <v>64</v>
      </c>
      <c r="B15" s="176">
        <v>46.9</v>
      </c>
      <c r="C15" s="176">
        <v>46.9</v>
      </c>
      <c r="D15" s="176">
        <v>46.9</v>
      </c>
      <c r="E15" s="11"/>
      <c r="F15" s="11"/>
      <c r="G15" s="11"/>
    </row>
    <row r="16" spans="1:9" ht="13" outlineLevel="4" x14ac:dyDescent="0.3">
      <c r="A16" s="175" t="s">
        <v>65</v>
      </c>
      <c r="B16" s="176">
        <v>225.503117</v>
      </c>
      <c r="C16" s="176">
        <v>225.503117</v>
      </c>
      <c r="D16" s="176">
        <v>225.503117</v>
      </c>
      <c r="E16" s="11"/>
      <c r="F16" s="11"/>
      <c r="G16" s="11"/>
    </row>
    <row r="17" spans="1:7" ht="13" outlineLevel="4" x14ac:dyDescent="0.3">
      <c r="A17" s="175" t="s">
        <v>66</v>
      </c>
      <c r="B17" s="176">
        <v>12.097744</v>
      </c>
      <c r="C17" s="176">
        <v>12.097744</v>
      </c>
      <c r="D17" s="176">
        <v>12.097744</v>
      </c>
      <c r="E17" s="11"/>
      <c r="F17" s="11"/>
      <c r="G17" s="11"/>
    </row>
    <row r="18" spans="1:7" ht="13" outlineLevel="4" x14ac:dyDescent="0.3">
      <c r="A18" s="175" t="s">
        <v>67</v>
      </c>
      <c r="B18" s="176">
        <v>27.097743999999999</v>
      </c>
      <c r="C18" s="176">
        <v>27.097743999999999</v>
      </c>
      <c r="D18" s="176">
        <v>27.097743999999999</v>
      </c>
      <c r="E18" s="11"/>
      <c r="F18" s="11"/>
      <c r="G18" s="11"/>
    </row>
    <row r="19" spans="1:7" ht="13" outlineLevel="4" x14ac:dyDescent="0.3">
      <c r="A19" s="175" t="s">
        <v>68</v>
      </c>
      <c r="B19" s="176">
        <v>284.818024487</v>
      </c>
      <c r="C19" s="176">
        <v>271.4485969049</v>
      </c>
      <c r="D19" s="176">
        <v>283.235635403</v>
      </c>
      <c r="E19" s="11"/>
      <c r="F19" s="11"/>
      <c r="G19" s="11"/>
    </row>
    <row r="20" spans="1:7" ht="13" outlineLevel="4" x14ac:dyDescent="0.3">
      <c r="A20" s="175" t="s">
        <v>69</v>
      </c>
      <c r="B20" s="176">
        <v>12.097744</v>
      </c>
      <c r="C20" s="176">
        <v>12.097744</v>
      </c>
      <c r="D20" s="176">
        <v>12.097744</v>
      </c>
      <c r="E20" s="11"/>
      <c r="F20" s="11"/>
      <c r="G20" s="11"/>
    </row>
    <row r="21" spans="1:7" ht="13" outlineLevel="4" x14ac:dyDescent="0.3">
      <c r="A21" s="175" t="s">
        <v>70</v>
      </c>
      <c r="B21" s="176">
        <v>12.097744</v>
      </c>
      <c r="C21" s="176">
        <v>12.097744</v>
      </c>
      <c r="D21" s="176">
        <v>12.097744</v>
      </c>
      <c r="E21" s="11"/>
      <c r="F21" s="11"/>
      <c r="G21" s="11"/>
    </row>
    <row r="22" spans="1:7" ht="13" outlineLevel="4" x14ac:dyDescent="0.3">
      <c r="A22" s="175" t="s">
        <v>71</v>
      </c>
      <c r="B22" s="176">
        <v>285.63223799999997</v>
      </c>
      <c r="C22" s="176">
        <v>270.95795900000002</v>
      </c>
      <c r="D22" s="176">
        <v>274.77464800000001</v>
      </c>
      <c r="E22" s="11"/>
      <c r="F22" s="11"/>
      <c r="G22" s="11"/>
    </row>
    <row r="23" spans="1:7" ht="13" outlineLevel="4" x14ac:dyDescent="0.3">
      <c r="A23" s="175" t="s">
        <v>72</v>
      </c>
      <c r="B23" s="176">
        <v>12.097744</v>
      </c>
      <c r="C23" s="176">
        <v>12.097744</v>
      </c>
      <c r="D23" s="176">
        <v>12.097744</v>
      </c>
      <c r="E23" s="11"/>
      <c r="F23" s="11"/>
      <c r="G23" s="11"/>
    </row>
    <row r="24" spans="1:7" ht="13" outlineLevel="4" x14ac:dyDescent="0.3">
      <c r="A24" s="175" t="s">
        <v>73</v>
      </c>
      <c r="B24" s="176">
        <v>12.097744</v>
      </c>
      <c r="C24" s="176">
        <v>12.097744</v>
      </c>
      <c r="D24" s="176">
        <v>12.097744</v>
      </c>
      <c r="E24" s="11"/>
      <c r="F24" s="11"/>
      <c r="G24" s="11"/>
    </row>
    <row r="25" spans="1:7" ht="13" outlineLevel="4" x14ac:dyDescent="0.3">
      <c r="A25" s="175" t="s">
        <v>74</v>
      </c>
      <c r="B25" s="176">
        <v>12.097744</v>
      </c>
      <c r="C25" s="176">
        <v>12.097744</v>
      </c>
      <c r="D25" s="176">
        <v>12.097744</v>
      </c>
      <c r="E25" s="11"/>
      <c r="F25" s="11"/>
      <c r="G25" s="11"/>
    </row>
    <row r="26" spans="1:7" ht="13" outlineLevel="4" x14ac:dyDescent="0.3">
      <c r="A26" s="175" t="s">
        <v>75</v>
      </c>
      <c r="B26" s="176">
        <v>12.097744</v>
      </c>
      <c r="C26" s="176">
        <v>12.097744</v>
      </c>
      <c r="D26" s="176">
        <v>12.097744</v>
      </c>
      <c r="E26" s="11"/>
      <c r="F26" s="11"/>
      <c r="G26" s="11"/>
    </row>
    <row r="27" spans="1:7" ht="13" outlineLevel="4" x14ac:dyDescent="0.3">
      <c r="A27" s="175" t="s">
        <v>76</v>
      </c>
      <c r="B27" s="176">
        <v>12.097744</v>
      </c>
      <c r="C27" s="176">
        <v>12.097744</v>
      </c>
      <c r="D27" s="176">
        <v>12.097744</v>
      </c>
      <c r="E27" s="11"/>
      <c r="F27" s="11"/>
      <c r="G27" s="11"/>
    </row>
    <row r="28" spans="1:7" ht="13" outlineLevel="4" x14ac:dyDescent="0.3">
      <c r="A28" s="175" t="s">
        <v>77</v>
      </c>
      <c r="B28" s="176">
        <v>12.097744</v>
      </c>
      <c r="C28" s="176">
        <v>12.097744</v>
      </c>
      <c r="D28" s="176">
        <v>12.097744</v>
      </c>
      <c r="E28" s="11"/>
      <c r="F28" s="11"/>
      <c r="G28" s="11"/>
    </row>
    <row r="29" spans="1:7" ht="13" outlineLevel="4" x14ac:dyDescent="0.3">
      <c r="A29" s="175" t="s">
        <v>78</v>
      </c>
      <c r="B29" s="176">
        <v>12.097744</v>
      </c>
      <c r="C29" s="176">
        <v>12.097744</v>
      </c>
      <c r="D29" s="176">
        <v>12.097744</v>
      </c>
      <c r="E29" s="11"/>
      <c r="F29" s="11"/>
      <c r="G29" s="11"/>
    </row>
    <row r="30" spans="1:7" ht="13" outlineLevel="4" x14ac:dyDescent="0.3">
      <c r="A30" s="175" t="s">
        <v>79</v>
      </c>
      <c r="B30" s="176">
        <v>12.097744</v>
      </c>
      <c r="C30" s="176">
        <v>12.097744</v>
      </c>
      <c r="D30" s="176">
        <v>12.097744</v>
      </c>
      <c r="E30" s="11"/>
      <c r="F30" s="11"/>
      <c r="G30" s="11"/>
    </row>
    <row r="31" spans="1:7" ht="13" outlineLevel="4" x14ac:dyDescent="0.3">
      <c r="A31" s="175" t="s">
        <v>80</v>
      </c>
      <c r="B31" s="176">
        <v>12.097744</v>
      </c>
      <c r="C31" s="176">
        <v>12.097744</v>
      </c>
      <c r="D31" s="176">
        <v>12.097744</v>
      </c>
      <c r="E31" s="11"/>
      <c r="F31" s="11"/>
      <c r="G31" s="11"/>
    </row>
    <row r="32" spans="1:7" ht="13" outlineLevel="4" x14ac:dyDescent="0.3">
      <c r="A32" s="175" t="s">
        <v>81</v>
      </c>
      <c r="B32" s="176">
        <v>12.097744</v>
      </c>
      <c r="C32" s="176">
        <v>12.097744</v>
      </c>
      <c r="D32" s="176">
        <v>12.097744</v>
      </c>
      <c r="E32" s="11"/>
      <c r="F32" s="11"/>
      <c r="G32" s="11"/>
    </row>
    <row r="33" spans="1:7" ht="13" outlineLevel="4" x14ac:dyDescent="0.3">
      <c r="A33" s="175" t="s">
        <v>83</v>
      </c>
      <c r="B33" s="176">
        <v>284.55799400000001</v>
      </c>
      <c r="C33" s="176">
        <v>284.60108300000002</v>
      </c>
      <c r="D33" s="176">
        <v>294.60108300000002</v>
      </c>
      <c r="E33" s="11"/>
      <c r="F33" s="11"/>
      <c r="G33" s="11"/>
    </row>
    <row r="34" spans="1:7" ht="13" outlineLevel="4" x14ac:dyDescent="0.3">
      <c r="A34" s="175" t="s">
        <v>84</v>
      </c>
      <c r="B34" s="176">
        <v>257.09775100000002</v>
      </c>
      <c r="C34" s="176">
        <v>257.09775100000002</v>
      </c>
      <c r="D34" s="176">
        <v>257.09775100000002</v>
      </c>
      <c r="E34" s="11"/>
      <c r="F34" s="11"/>
      <c r="G34" s="11"/>
    </row>
    <row r="35" spans="1:7" ht="13" outlineLevel="4" x14ac:dyDescent="0.3">
      <c r="A35" s="175" t="s">
        <v>85</v>
      </c>
      <c r="B35" s="176">
        <v>16.191801000000002</v>
      </c>
      <c r="C35" s="176">
        <v>36.191800999999998</v>
      </c>
      <c r="D35" s="176">
        <v>36.191800999999998</v>
      </c>
      <c r="E35" s="11"/>
      <c r="F35" s="11"/>
      <c r="G35" s="11"/>
    </row>
    <row r="36" spans="1:7" ht="13" outlineLevel="4" x14ac:dyDescent="0.3">
      <c r="A36" s="175" t="s">
        <v>86</v>
      </c>
      <c r="B36" s="176">
        <v>46.069235999999997</v>
      </c>
      <c r="C36" s="176">
        <v>46.069235999999997</v>
      </c>
      <c r="D36" s="176">
        <v>46.069235999999997</v>
      </c>
      <c r="E36" s="11"/>
      <c r="F36" s="11"/>
      <c r="G36" s="11"/>
    </row>
    <row r="37" spans="1:7" ht="13" outlineLevel="4" x14ac:dyDescent="0.3">
      <c r="A37" s="175" t="s">
        <v>88</v>
      </c>
      <c r="B37" s="176">
        <v>41.080407000000001</v>
      </c>
      <c r="C37" s="176">
        <v>41.080407000000001</v>
      </c>
      <c r="D37" s="176">
        <v>0</v>
      </c>
      <c r="E37" s="11"/>
      <c r="F37" s="11"/>
      <c r="G37" s="11"/>
    </row>
    <row r="38" spans="1:7" ht="13" outlineLevel="4" x14ac:dyDescent="0.3">
      <c r="A38" s="175" t="s">
        <v>89</v>
      </c>
      <c r="B38" s="176">
        <v>17.781690999999999</v>
      </c>
      <c r="C38" s="176">
        <v>17.781690999999999</v>
      </c>
      <c r="D38" s="176">
        <v>17.781690999999999</v>
      </c>
      <c r="E38" s="11"/>
      <c r="F38" s="11"/>
      <c r="G38" s="11"/>
    </row>
    <row r="39" spans="1:7" ht="13" outlineLevel="4" x14ac:dyDescent="0.3">
      <c r="A39" s="175" t="s">
        <v>90</v>
      </c>
      <c r="B39" s="176">
        <v>2.5</v>
      </c>
      <c r="C39" s="176">
        <v>2.5</v>
      </c>
      <c r="D39" s="176">
        <v>2.5</v>
      </c>
      <c r="E39" s="11"/>
      <c r="F39" s="11"/>
      <c r="G39" s="11"/>
    </row>
    <row r="40" spans="1:7" ht="13" outlineLevel="4" x14ac:dyDescent="0.3">
      <c r="A40" s="175" t="s">
        <v>92</v>
      </c>
      <c r="B40" s="176">
        <v>5.5</v>
      </c>
      <c r="C40" s="176">
        <v>5.5</v>
      </c>
      <c r="D40" s="176">
        <v>5.5</v>
      </c>
      <c r="E40" s="11"/>
      <c r="F40" s="11"/>
      <c r="G40" s="11"/>
    </row>
    <row r="41" spans="1:7" ht="13" outlineLevel="3" x14ac:dyDescent="0.3">
      <c r="A41" s="177" t="s">
        <v>93</v>
      </c>
      <c r="B41" s="176">
        <f>SUM(B$42:B$42)</f>
        <v>1.4547777477799999</v>
      </c>
      <c r="C41" s="176">
        <f>SUM(C$42:C$42)</f>
        <v>1.4547777477799999</v>
      </c>
      <c r="D41" s="176">
        <f>SUM(D$42:D$42)</f>
        <v>1.4547777477799999</v>
      </c>
      <c r="E41" s="11"/>
      <c r="F41" s="11"/>
      <c r="G41" s="11"/>
    </row>
    <row r="42" spans="1:7" ht="13" outlineLevel="4" x14ac:dyDescent="0.3">
      <c r="A42" s="175" t="s">
        <v>94</v>
      </c>
      <c r="B42" s="176">
        <v>1.4547777477799999</v>
      </c>
      <c r="C42" s="176">
        <v>1.4547777477799999</v>
      </c>
      <c r="D42" s="176">
        <v>1.4547777477799999</v>
      </c>
      <c r="E42" s="11"/>
      <c r="F42" s="11"/>
      <c r="G42" s="11"/>
    </row>
    <row r="43" spans="1:7" ht="14.5" outlineLevel="2" x14ac:dyDescent="0.35">
      <c r="A43" s="178" t="s">
        <v>95</v>
      </c>
      <c r="B43" s="179">
        <f>B$44+B$54+B$65+B$67+B$74+B$76+B$78</f>
        <v>4829.3216389738018</v>
      </c>
      <c r="C43" s="179">
        <f>C$44+C$54+C$65+C$67+C$74+C$76+C$78</f>
        <v>4923.8023745592709</v>
      </c>
      <c r="D43" s="179">
        <f>D$44+D$54+D$65+D$67+D$74+D$76+D$78</f>
        <v>4900.5455591074806</v>
      </c>
      <c r="E43" s="11"/>
      <c r="F43" s="11"/>
      <c r="G43" s="11"/>
    </row>
    <row r="44" spans="1:7" ht="13" outlineLevel="3" x14ac:dyDescent="0.3">
      <c r="A44" s="177" t="s">
        <v>96</v>
      </c>
      <c r="B44" s="176">
        <f>SUM(B$45:B$53)</f>
        <v>3481.9848215421307</v>
      </c>
      <c r="C44" s="176">
        <f>SUM(C$45:C$53)</f>
        <v>3583.5993431767301</v>
      </c>
      <c r="D44" s="176">
        <f>SUM(D$45:D$53)</f>
        <v>3568.0006062255402</v>
      </c>
      <c r="E44" s="11"/>
      <c r="F44" s="11"/>
      <c r="G44" s="11"/>
    </row>
    <row r="45" spans="1:7" ht="13" outlineLevel="4" x14ac:dyDescent="0.3">
      <c r="A45" s="175" t="s">
        <v>97</v>
      </c>
      <c r="B45" s="176">
        <v>0.48186126030999998</v>
      </c>
      <c r="C45" s="176">
        <v>0.47728799582999998</v>
      </c>
      <c r="D45" s="176">
        <v>0.47711796561000003</v>
      </c>
      <c r="E45" s="11"/>
      <c r="F45" s="11"/>
      <c r="G45" s="11"/>
    </row>
    <row r="46" spans="1:7" ht="13" outlineLevel="4" x14ac:dyDescent="0.3">
      <c r="A46" s="175" t="s">
        <v>98</v>
      </c>
      <c r="B46" s="176">
        <v>5.08672720701</v>
      </c>
      <c r="C46" s="176">
        <v>5.1293808534799998</v>
      </c>
      <c r="D46" s="176">
        <v>5.1275535505200001</v>
      </c>
      <c r="E46" s="11"/>
      <c r="F46" s="11"/>
      <c r="G46" s="11"/>
    </row>
    <row r="47" spans="1:7" ht="13" outlineLevel="4" x14ac:dyDescent="0.3">
      <c r="A47" s="175" t="s">
        <v>99</v>
      </c>
      <c r="B47" s="176">
        <v>4.2521896911699999</v>
      </c>
      <c r="C47" s="176">
        <v>4.2814483913399997</v>
      </c>
      <c r="D47" s="176">
        <v>4.2799231578799999</v>
      </c>
      <c r="E47" s="11"/>
      <c r="F47" s="11"/>
      <c r="G47" s="11"/>
    </row>
    <row r="48" spans="1:7" ht="13" outlineLevel="4" x14ac:dyDescent="0.3">
      <c r="A48" s="175" t="s">
        <v>100</v>
      </c>
      <c r="B48" s="176">
        <v>124.11142454661</v>
      </c>
      <c r="C48" s="176">
        <v>122.93350381306</v>
      </c>
      <c r="D48" s="176">
        <v>122.39023698254999</v>
      </c>
      <c r="E48" s="11"/>
      <c r="F48" s="11"/>
      <c r="G48" s="11"/>
    </row>
    <row r="49" spans="1:7" ht="13" outlineLevel="4" x14ac:dyDescent="0.3">
      <c r="A49" s="175" t="s">
        <v>101</v>
      </c>
      <c r="B49" s="176">
        <v>1850.2552231591901</v>
      </c>
      <c r="C49" s="176">
        <v>1963.2238608758501</v>
      </c>
      <c r="D49" s="176">
        <v>1962.5244772937201</v>
      </c>
      <c r="E49" s="11"/>
      <c r="F49" s="11"/>
      <c r="G49" s="11"/>
    </row>
    <row r="50" spans="1:7" ht="13" outlineLevel="4" x14ac:dyDescent="0.3">
      <c r="A50" s="175" t="s">
        <v>102</v>
      </c>
      <c r="B50" s="176">
        <v>243.40981073539001</v>
      </c>
      <c r="C50" s="176">
        <v>241.98408285849999</v>
      </c>
      <c r="D50" s="176">
        <v>240.47988203592999</v>
      </c>
      <c r="E50" s="11"/>
      <c r="F50" s="11"/>
      <c r="G50" s="11"/>
    </row>
    <row r="51" spans="1:7" ht="13" outlineLevel="4" x14ac:dyDescent="0.3">
      <c r="A51" s="175" t="s">
        <v>103</v>
      </c>
      <c r="B51" s="176">
        <v>679.98849281046</v>
      </c>
      <c r="C51" s="176">
        <v>674.35819468839998</v>
      </c>
      <c r="D51" s="176">
        <v>666.90862741633998</v>
      </c>
      <c r="E51" s="11"/>
      <c r="F51" s="11"/>
      <c r="G51" s="11"/>
    </row>
    <row r="52" spans="1:7" ht="13" outlineLevel="4" x14ac:dyDescent="0.3">
      <c r="A52" s="175" t="s">
        <v>104</v>
      </c>
      <c r="B52" s="176">
        <v>569.59844089061005</v>
      </c>
      <c r="C52" s="176">
        <v>566.55357398711999</v>
      </c>
      <c r="D52" s="176">
        <v>561.18860177733995</v>
      </c>
      <c r="E52" s="11"/>
      <c r="F52" s="11"/>
      <c r="G52" s="11"/>
    </row>
    <row r="53" spans="1:7" ht="13" outlineLevel="4" x14ac:dyDescent="0.3">
      <c r="A53" s="175" t="s">
        <v>105</v>
      </c>
      <c r="B53" s="176">
        <v>4.8006512413799998</v>
      </c>
      <c r="C53" s="176">
        <v>4.6580097131500002</v>
      </c>
      <c r="D53" s="176">
        <v>4.6241860456500001</v>
      </c>
      <c r="E53" s="11"/>
      <c r="F53" s="11"/>
      <c r="G53" s="11"/>
    </row>
    <row r="54" spans="1:7" ht="13" outlineLevel="3" x14ac:dyDescent="0.3">
      <c r="A54" s="177" t="s">
        <v>106</v>
      </c>
      <c r="B54" s="176">
        <f>SUM(B$55:B$64)</f>
        <v>320.75385386105006</v>
      </c>
      <c r="C54" s="176">
        <f>SUM(C$55:C$64)</f>
        <v>319.23548689800003</v>
      </c>
      <c r="D54" s="176">
        <f>SUM(D$55:D$64)</f>
        <v>319.28324551754002</v>
      </c>
      <c r="E54" s="11"/>
      <c r="F54" s="11"/>
      <c r="G54" s="11"/>
    </row>
    <row r="55" spans="1:7" ht="13" outlineLevel="4" x14ac:dyDescent="0.3">
      <c r="A55" s="175" t="s">
        <v>107</v>
      </c>
      <c r="B55" s="176">
        <v>1.0035949112</v>
      </c>
      <c r="C55" s="176">
        <v>0.98594205847000005</v>
      </c>
      <c r="D55" s="176">
        <v>0.99696442919999995</v>
      </c>
      <c r="E55" s="11"/>
      <c r="F55" s="11"/>
      <c r="G55" s="11"/>
    </row>
    <row r="56" spans="1:7" ht="13" outlineLevel="4" x14ac:dyDescent="0.3">
      <c r="A56" s="175" t="s">
        <v>108</v>
      </c>
      <c r="B56" s="176">
        <v>8.7853200000000005</v>
      </c>
      <c r="C56" s="176">
        <v>8.7019400000000005</v>
      </c>
      <c r="D56" s="176">
        <v>8.6988400000000006</v>
      </c>
      <c r="E56" s="11"/>
      <c r="F56" s="11"/>
      <c r="G56" s="11"/>
    </row>
    <row r="57" spans="1:7" ht="13" outlineLevel="4" x14ac:dyDescent="0.3">
      <c r="A57" s="175" t="s">
        <v>109</v>
      </c>
      <c r="B57" s="176">
        <v>213.75542670784</v>
      </c>
      <c r="C57" s="176">
        <v>212.30957784627</v>
      </c>
      <c r="D57" s="176">
        <v>211.49315567745001</v>
      </c>
      <c r="E57" s="11"/>
      <c r="F57" s="11"/>
      <c r="G57" s="11"/>
    </row>
    <row r="58" spans="1:7" ht="13" outlineLevel="4" x14ac:dyDescent="0.3">
      <c r="A58" s="175" t="s">
        <v>110</v>
      </c>
      <c r="B58" s="176">
        <v>8.7853200000000005</v>
      </c>
      <c r="C58" s="176">
        <v>8.7019400000000005</v>
      </c>
      <c r="D58" s="176">
        <v>8.6988400000000006</v>
      </c>
      <c r="E58" s="11"/>
      <c r="F58" s="11"/>
      <c r="G58" s="11"/>
    </row>
    <row r="59" spans="1:7" ht="13" outlineLevel="4" x14ac:dyDescent="0.3">
      <c r="A59" s="175" t="s">
        <v>111</v>
      </c>
      <c r="B59" s="176">
        <v>24.695561359159999</v>
      </c>
      <c r="C59" s="176">
        <v>24.461179924420001</v>
      </c>
      <c r="D59" s="176">
        <v>24.533266701790001</v>
      </c>
      <c r="E59" s="11"/>
      <c r="F59" s="11"/>
      <c r="G59" s="11"/>
    </row>
    <row r="60" spans="1:7" ht="13" outlineLevel="4" x14ac:dyDescent="0.3">
      <c r="A60" s="175" t="s">
        <v>112</v>
      </c>
      <c r="B60" s="176">
        <v>4.3628869331200004</v>
      </c>
      <c r="C60" s="176">
        <v>4.3214795043100001</v>
      </c>
      <c r="D60" s="176">
        <v>4.3199400100699998</v>
      </c>
      <c r="E60" s="11"/>
      <c r="F60" s="11"/>
      <c r="G60" s="11"/>
    </row>
    <row r="61" spans="1:7" ht="13" outlineLevel="4" x14ac:dyDescent="0.3">
      <c r="A61" s="175" t="s">
        <v>113</v>
      </c>
      <c r="B61" s="176">
        <v>4.2039</v>
      </c>
      <c r="C61" s="176">
        <v>4.1824199999999996</v>
      </c>
      <c r="D61" s="176">
        <v>4.1513999999999998</v>
      </c>
      <c r="E61" s="11"/>
      <c r="F61" s="11"/>
      <c r="G61" s="11"/>
    </row>
    <row r="62" spans="1:7" ht="13" outlineLevel="4" x14ac:dyDescent="0.3">
      <c r="A62" s="175" t="s">
        <v>114</v>
      </c>
      <c r="B62" s="176">
        <v>2.1545629019999998E-2</v>
      </c>
      <c r="C62" s="176">
        <v>2.1435540730000001E-2</v>
      </c>
      <c r="D62" s="176">
        <v>2.1276558500000001E-2</v>
      </c>
      <c r="E62" s="11"/>
      <c r="F62" s="11"/>
      <c r="G62" s="11"/>
    </row>
    <row r="63" spans="1:7" ht="13" outlineLevel="4" x14ac:dyDescent="0.3">
      <c r="A63" s="175" t="s">
        <v>115</v>
      </c>
      <c r="B63" s="176">
        <v>19.550736922790001</v>
      </c>
      <c r="C63" s="176">
        <v>19.3651841547</v>
      </c>
      <c r="D63" s="176">
        <v>19.35828545499</v>
      </c>
      <c r="E63" s="11"/>
      <c r="F63" s="11"/>
      <c r="G63" s="11"/>
    </row>
    <row r="64" spans="1:7" ht="13" outlineLevel="4" x14ac:dyDescent="0.3">
      <c r="A64" s="175" t="s">
        <v>116</v>
      </c>
      <c r="B64" s="176">
        <v>35.589561397920001</v>
      </c>
      <c r="C64" s="176">
        <v>36.1843878691</v>
      </c>
      <c r="D64" s="176">
        <v>37.011276685539997</v>
      </c>
      <c r="E64" s="11"/>
      <c r="F64" s="11"/>
      <c r="G64" s="11"/>
    </row>
    <row r="65" spans="1:7" ht="13" outlineLevel="3" x14ac:dyDescent="0.3">
      <c r="A65" s="177" t="s">
        <v>117</v>
      </c>
      <c r="B65" s="176">
        <f>SUM(B$66:B$66)</f>
        <v>25.469574498539998</v>
      </c>
      <c r="C65" s="176">
        <f>SUM(C$66:C$66)</f>
        <v>25.339436659810001</v>
      </c>
      <c r="D65" s="176">
        <f>SUM(D$66:D$66)</f>
        <v>25.151500172039999</v>
      </c>
      <c r="E65" s="11"/>
      <c r="F65" s="11"/>
      <c r="G65" s="11"/>
    </row>
    <row r="66" spans="1:7" ht="13" outlineLevel="4" x14ac:dyDescent="0.3">
      <c r="A66" s="175" t="s">
        <v>118</v>
      </c>
      <c r="B66" s="176">
        <v>25.469574498539998</v>
      </c>
      <c r="C66" s="176">
        <v>25.339436659810001</v>
      </c>
      <c r="D66" s="176">
        <v>25.151500172039999</v>
      </c>
      <c r="E66" s="11"/>
      <c r="F66" s="11"/>
      <c r="G66" s="11"/>
    </row>
    <row r="67" spans="1:7" ht="13" outlineLevel="3" x14ac:dyDescent="0.3">
      <c r="A67" s="177" t="s">
        <v>119</v>
      </c>
      <c r="B67" s="176">
        <f>SUM(B$68:B$73)</f>
        <v>62.159684084680002</v>
      </c>
      <c r="C67" s="176">
        <f>SUM(C$68:C$73)</f>
        <v>61.512879152469999</v>
      </c>
      <c r="D67" s="176">
        <f>SUM(D$68:D$73)</f>
        <v>60.24460406064</v>
      </c>
      <c r="E67" s="11"/>
      <c r="F67" s="11"/>
      <c r="G67" s="11"/>
    </row>
    <row r="68" spans="1:7" ht="13" outlineLevel="4" x14ac:dyDescent="0.3">
      <c r="A68" s="175" t="s">
        <v>120</v>
      </c>
      <c r="B68" s="176">
        <v>28.552289999999999</v>
      </c>
      <c r="C68" s="176">
        <v>28.281305</v>
      </c>
      <c r="D68" s="176">
        <v>28.271229999999999</v>
      </c>
      <c r="E68" s="11"/>
      <c r="F68" s="11"/>
      <c r="G68" s="11"/>
    </row>
    <row r="69" spans="1:7" ht="13" outlineLevel="4" x14ac:dyDescent="0.3">
      <c r="A69" s="175" t="s">
        <v>121</v>
      </c>
      <c r="B69" s="176">
        <v>2.2459319199999998E-3</v>
      </c>
      <c r="C69" s="176">
        <v>2.2246161499999998E-3</v>
      </c>
      <c r="D69" s="176">
        <v>2.2238236500000002E-3</v>
      </c>
      <c r="E69" s="11"/>
      <c r="F69" s="11"/>
      <c r="G69" s="11"/>
    </row>
    <row r="70" spans="1:7" ht="13" outlineLevel="4" x14ac:dyDescent="0.3">
      <c r="A70" s="175" t="s">
        <v>122</v>
      </c>
      <c r="B70" s="176">
        <v>0.28202475074</v>
      </c>
      <c r="C70" s="176">
        <v>0.27934810109000002</v>
      </c>
      <c r="D70" s="176">
        <v>0.27924858544999998</v>
      </c>
      <c r="E70" s="11"/>
      <c r="F70" s="11"/>
      <c r="G70" s="11"/>
    </row>
    <row r="71" spans="1:7" ht="13" outlineLevel="4" x14ac:dyDescent="0.3">
      <c r="A71" s="175" t="s">
        <v>123</v>
      </c>
      <c r="B71" s="176">
        <v>8.1087173963799994</v>
      </c>
      <c r="C71" s="176">
        <v>8.0317589183199996</v>
      </c>
      <c r="D71" s="176">
        <v>7.7506209689899999</v>
      </c>
      <c r="E71" s="11"/>
      <c r="F71" s="11"/>
      <c r="G71" s="11"/>
    </row>
    <row r="72" spans="1:7" ht="13" outlineLevel="4" x14ac:dyDescent="0.3">
      <c r="A72" s="175" t="s">
        <v>124</v>
      </c>
      <c r="B72" s="176">
        <v>18.193875010589998</v>
      </c>
      <c r="C72" s="176">
        <v>18.021199991540001</v>
      </c>
      <c r="D72" s="176">
        <v>16.967132449979999</v>
      </c>
      <c r="E72" s="11"/>
      <c r="F72" s="11"/>
      <c r="G72" s="11"/>
    </row>
    <row r="73" spans="1:7" ht="13" outlineLevel="4" x14ac:dyDescent="0.3">
      <c r="A73" s="175" t="s">
        <v>125</v>
      </c>
      <c r="B73" s="176">
        <v>7.0205309950499997</v>
      </c>
      <c r="C73" s="176">
        <v>6.8970425253699998</v>
      </c>
      <c r="D73" s="176">
        <v>6.9741482325700002</v>
      </c>
      <c r="E73" s="11"/>
      <c r="F73" s="11"/>
      <c r="G73" s="11"/>
    </row>
    <row r="74" spans="1:7" ht="13" outlineLevel="3" x14ac:dyDescent="0.3">
      <c r="A74" s="177" t="s">
        <v>126</v>
      </c>
      <c r="B74" s="176">
        <f>SUM(B$75:B$75)</f>
        <v>639.79848096628996</v>
      </c>
      <c r="C74" s="176">
        <f>SUM(C$75:C$75)</f>
        <v>636.52940430624005</v>
      </c>
      <c r="D74" s="176">
        <f>SUM(D$75:D$75)</f>
        <v>631.80841929718997</v>
      </c>
      <c r="E74" s="11"/>
      <c r="F74" s="11"/>
      <c r="G74" s="11"/>
    </row>
    <row r="75" spans="1:7" ht="13" outlineLevel="4" x14ac:dyDescent="0.3">
      <c r="A75" s="175" t="s">
        <v>134</v>
      </c>
      <c r="B75" s="176">
        <v>639.79848096628996</v>
      </c>
      <c r="C75" s="176">
        <v>636.52940430624005</v>
      </c>
      <c r="D75" s="176">
        <v>631.80841929718997</v>
      </c>
      <c r="E75" s="11"/>
      <c r="F75" s="11"/>
      <c r="G75" s="11"/>
    </row>
    <row r="76" spans="1:7" ht="13" outlineLevel="3" x14ac:dyDescent="0.3">
      <c r="A76" s="177" t="s">
        <v>135</v>
      </c>
      <c r="B76" s="176">
        <f>SUM(B$77:B$77)</f>
        <v>126.117</v>
      </c>
      <c r="C76" s="176">
        <f>SUM(C$77:C$77)</f>
        <v>125.4726</v>
      </c>
      <c r="D76" s="176">
        <f>SUM(D$77:D$77)</f>
        <v>124.542</v>
      </c>
      <c r="E76" s="11"/>
      <c r="F76" s="11"/>
      <c r="G76" s="11"/>
    </row>
    <row r="77" spans="1:7" ht="13" outlineLevel="4" x14ac:dyDescent="0.3">
      <c r="A77" s="175" t="s">
        <v>136</v>
      </c>
      <c r="B77" s="176">
        <v>126.117</v>
      </c>
      <c r="C77" s="176">
        <v>125.4726</v>
      </c>
      <c r="D77" s="176">
        <v>124.542</v>
      </c>
      <c r="E77" s="11"/>
      <c r="F77" s="11"/>
      <c r="G77" s="11"/>
    </row>
    <row r="78" spans="1:7" ht="13" outlineLevel="3" x14ac:dyDescent="0.3">
      <c r="A78" s="177" t="s">
        <v>137</v>
      </c>
      <c r="B78" s="176">
        <f>SUM(B$79:B$79)</f>
        <v>173.03822402111001</v>
      </c>
      <c r="C78" s="176">
        <f>SUM(C$79:C$79)</f>
        <v>172.11322436602001</v>
      </c>
      <c r="D78" s="176">
        <f>SUM(D$79:D$79)</f>
        <v>171.51518383453001</v>
      </c>
      <c r="E78" s="11"/>
      <c r="F78" s="11"/>
      <c r="G78" s="11"/>
    </row>
    <row r="79" spans="1:7" ht="13" outlineLevel="4" x14ac:dyDescent="0.3">
      <c r="A79" s="175" t="s">
        <v>104</v>
      </c>
      <c r="B79" s="176">
        <v>173.03822402111001</v>
      </c>
      <c r="C79" s="176">
        <v>172.11322436602001</v>
      </c>
      <c r="D79" s="176">
        <v>171.51518383453001</v>
      </c>
      <c r="E79" s="11"/>
      <c r="F79" s="11"/>
      <c r="G79" s="11"/>
    </row>
    <row r="80" spans="1:7" ht="14.5" outlineLevel="1" x14ac:dyDescent="0.35">
      <c r="A80" s="180" t="s">
        <v>2</v>
      </c>
      <c r="B80" s="181">
        <f>B$81+B$96</f>
        <v>288.51110931760996</v>
      </c>
      <c r="C80" s="181">
        <f>C$81+C$96</f>
        <v>289.11573385013003</v>
      </c>
      <c r="D80" s="181">
        <f>D$81+D$96</f>
        <v>279.37199832290003</v>
      </c>
      <c r="E80" s="11"/>
      <c r="F80" s="11"/>
      <c r="G80" s="11"/>
    </row>
    <row r="81" spans="1:7" ht="14.5" outlineLevel="2" x14ac:dyDescent="0.35">
      <c r="A81" s="178" t="s">
        <v>57</v>
      </c>
      <c r="B81" s="179">
        <f>B$82+B$86+B$94</f>
        <v>69.357463909260005</v>
      </c>
      <c r="C81" s="179">
        <f>C$82+C$86+C$94</f>
        <v>71.566783229060007</v>
      </c>
      <c r="D81" s="179">
        <f>D$82+D$86+D$94</f>
        <v>73.185231749920007</v>
      </c>
      <c r="E81" s="11"/>
      <c r="F81" s="11"/>
      <c r="G81" s="11"/>
    </row>
    <row r="82" spans="1:7" ht="13" outlineLevel="3" x14ac:dyDescent="0.3">
      <c r="A82" s="177" t="s">
        <v>58</v>
      </c>
      <c r="B82" s="176">
        <f>SUM(B$83:B$85)</f>
        <v>4.4750116000000002</v>
      </c>
      <c r="C82" s="176">
        <f>SUM(C$83:C$85)</f>
        <v>4.4750116000000002</v>
      </c>
      <c r="D82" s="176">
        <f>SUM(D$83:D$85)</f>
        <v>4.4750116000000002</v>
      </c>
      <c r="E82" s="11"/>
      <c r="F82" s="11"/>
      <c r="G82" s="11"/>
    </row>
    <row r="83" spans="1:7" ht="13" outlineLevel="4" x14ac:dyDescent="0.3">
      <c r="A83" s="175" t="s">
        <v>138</v>
      </c>
      <c r="B83" s="176">
        <v>1.1600000000000001E-5</v>
      </c>
      <c r="C83" s="176">
        <v>1.1600000000000001E-5</v>
      </c>
      <c r="D83" s="176">
        <v>1.1600000000000001E-5</v>
      </c>
      <c r="E83" s="11"/>
      <c r="F83" s="11"/>
      <c r="G83" s="11"/>
    </row>
    <row r="84" spans="1:7" ht="13" outlineLevel="4" x14ac:dyDescent="0.3">
      <c r="A84" s="175" t="s">
        <v>139</v>
      </c>
      <c r="B84" s="176">
        <v>2.4750000000000001</v>
      </c>
      <c r="C84" s="176">
        <v>2.4750000000000001</v>
      </c>
      <c r="D84" s="176">
        <v>2.4750000000000001</v>
      </c>
      <c r="E84" s="11"/>
      <c r="F84" s="11"/>
      <c r="G84" s="11"/>
    </row>
    <row r="85" spans="1:7" ht="13" outlineLevel="4" x14ac:dyDescent="0.3">
      <c r="A85" s="175" t="s">
        <v>144</v>
      </c>
      <c r="B85" s="176">
        <v>2</v>
      </c>
      <c r="C85" s="176">
        <v>2</v>
      </c>
      <c r="D85" s="176">
        <v>2</v>
      </c>
      <c r="E85" s="11"/>
      <c r="F85" s="11"/>
      <c r="G85" s="11"/>
    </row>
    <row r="86" spans="1:7" ht="13" outlineLevel="3" x14ac:dyDescent="0.3">
      <c r="A86" s="177" t="s">
        <v>93</v>
      </c>
      <c r="B86" s="176">
        <f>SUM(B$87:B$93)</f>
        <v>64.881497659260006</v>
      </c>
      <c r="C86" s="176">
        <f>SUM(C$87:C$93)</f>
        <v>67.090816979060008</v>
      </c>
      <c r="D86" s="176">
        <f>SUM(D$87:D$93)</f>
        <v>68.709265499920008</v>
      </c>
      <c r="E86" s="11"/>
      <c r="F86" s="11"/>
      <c r="G86" s="11"/>
    </row>
    <row r="87" spans="1:7" ht="13" outlineLevel="4" x14ac:dyDescent="0.3">
      <c r="A87" s="175" t="s">
        <v>145</v>
      </c>
      <c r="B87" s="176">
        <v>2.6414929643299998</v>
      </c>
      <c r="C87" s="176">
        <v>3.1617778014</v>
      </c>
      <c r="D87" s="176">
        <v>3.2630255785100002</v>
      </c>
      <c r="E87" s="11"/>
      <c r="F87" s="11"/>
      <c r="G87" s="11"/>
    </row>
    <row r="88" spans="1:7" ht="13" outlineLevel="4" x14ac:dyDescent="0.3">
      <c r="A88" s="175" t="s">
        <v>146</v>
      </c>
      <c r="B88" s="176">
        <v>0.30361500074999997</v>
      </c>
      <c r="C88" s="176">
        <v>0.28696048412000003</v>
      </c>
      <c r="D88" s="176">
        <v>0.26984100083000001</v>
      </c>
      <c r="E88" s="11"/>
      <c r="F88" s="11"/>
      <c r="G88" s="11"/>
    </row>
    <row r="89" spans="1:7" ht="13" outlineLevel="4" x14ac:dyDescent="0.3">
      <c r="A89" s="175" t="s">
        <v>147</v>
      </c>
      <c r="B89" s="176">
        <v>14.99023391273</v>
      </c>
      <c r="C89" s="176">
        <v>15.19114574242</v>
      </c>
      <c r="D89" s="176">
        <v>16.907108891290001</v>
      </c>
      <c r="E89" s="11"/>
      <c r="F89" s="11"/>
      <c r="G89" s="11"/>
    </row>
    <row r="90" spans="1:7" ht="13" outlineLevel="4" x14ac:dyDescent="0.3">
      <c r="A90" s="175" t="s">
        <v>148</v>
      </c>
      <c r="B90" s="176">
        <v>13.25976210098</v>
      </c>
      <c r="C90" s="176">
        <v>14.5485412967</v>
      </c>
      <c r="D90" s="176">
        <v>14.743566531360001</v>
      </c>
      <c r="E90" s="11"/>
      <c r="F90" s="11"/>
      <c r="G90" s="11"/>
    </row>
    <row r="91" spans="1:7" ht="13" outlineLevel="4" x14ac:dyDescent="0.3">
      <c r="A91" s="175" t="s">
        <v>149</v>
      </c>
      <c r="B91" s="176">
        <v>0.23354999851</v>
      </c>
      <c r="C91" s="176">
        <v>0.53051199010000005</v>
      </c>
      <c r="D91" s="176">
        <v>0.61849195173000004</v>
      </c>
      <c r="E91" s="11"/>
      <c r="F91" s="11"/>
      <c r="G91" s="11"/>
    </row>
    <row r="92" spans="1:7" ht="13" outlineLevel="4" x14ac:dyDescent="0.3">
      <c r="A92" s="175" t="s">
        <v>150</v>
      </c>
      <c r="B92" s="176">
        <v>0.32696999924999998</v>
      </c>
      <c r="C92" s="176">
        <v>0.30903436587999999</v>
      </c>
      <c r="D92" s="176">
        <v>0.29059799917000001</v>
      </c>
      <c r="E92" s="11"/>
      <c r="F92" s="11"/>
      <c r="G92" s="11"/>
    </row>
    <row r="93" spans="1:7" ht="13" outlineLevel="4" x14ac:dyDescent="0.3">
      <c r="A93" s="175" t="s">
        <v>153</v>
      </c>
      <c r="B93" s="176">
        <v>33.125873682710001</v>
      </c>
      <c r="C93" s="176">
        <v>33.062845298440003</v>
      </c>
      <c r="D93" s="176">
        <v>32.616633547029998</v>
      </c>
      <c r="E93" s="11"/>
      <c r="F93" s="11"/>
      <c r="G93" s="11"/>
    </row>
    <row r="94" spans="1:7" ht="13" outlineLevel="3" x14ac:dyDescent="0.3">
      <c r="A94" s="177" t="s">
        <v>154</v>
      </c>
      <c r="B94" s="176">
        <f>SUM(B$95:B$95)</f>
        <v>9.5465000000000003E-4</v>
      </c>
      <c r="C94" s="176">
        <f>SUM(C$95:C$95)</f>
        <v>9.5465000000000003E-4</v>
      </c>
      <c r="D94" s="176">
        <f>SUM(D$95:D$95)</f>
        <v>9.5465000000000003E-4</v>
      </c>
      <c r="E94" s="11"/>
      <c r="F94" s="11"/>
      <c r="G94" s="11"/>
    </row>
    <row r="95" spans="1:7" ht="13" outlineLevel="4" x14ac:dyDescent="0.3">
      <c r="A95" s="175" t="s">
        <v>155</v>
      </c>
      <c r="B95" s="176">
        <v>9.5465000000000003E-4</v>
      </c>
      <c r="C95" s="176">
        <v>9.5465000000000003E-4</v>
      </c>
      <c r="D95" s="176">
        <v>9.5465000000000003E-4</v>
      </c>
      <c r="E95" s="11"/>
      <c r="F95" s="11"/>
      <c r="G95" s="11"/>
    </row>
    <row r="96" spans="1:7" ht="14.5" outlineLevel="2" x14ac:dyDescent="0.35">
      <c r="A96" s="178" t="s">
        <v>95</v>
      </c>
      <c r="B96" s="179">
        <f>B$97+B$104+B$107+B$109+B$111</f>
        <v>219.15364540834997</v>
      </c>
      <c r="C96" s="179">
        <f>C$97+C$104+C$107+C$109+C$111</f>
        <v>217.54895062106999</v>
      </c>
      <c r="D96" s="179">
        <f>D$97+D$104+D$107+D$109+D$111</f>
        <v>206.18676657297999</v>
      </c>
      <c r="E96" s="11"/>
      <c r="F96" s="11"/>
      <c r="G96" s="11"/>
    </row>
    <row r="97" spans="1:7" ht="13" outlineLevel="3" x14ac:dyDescent="0.3">
      <c r="A97" s="177" t="s">
        <v>96</v>
      </c>
      <c r="B97" s="176">
        <f>SUM(B$98:B$103)</f>
        <v>136.28570344675998</v>
      </c>
      <c r="C97" s="176">
        <f>SUM(C$98:C$103)</f>
        <v>135.26543256123</v>
      </c>
      <c r="D97" s="176">
        <f>SUM(D$98:D$103)</f>
        <v>124.48637754184</v>
      </c>
      <c r="E97" s="11"/>
      <c r="F97" s="11"/>
      <c r="G97" s="11"/>
    </row>
    <row r="98" spans="1:7" ht="13" outlineLevel="4" x14ac:dyDescent="0.3">
      <c r="A98" s="175" t="s">
        <v>156</v>
      </c>
      <c r="B98" s="176">
        <v>13.17798</v>
      </c>
      <c r="C98" s="176">
        <v>13.052910000000001</v>
      </c>
      <c r="D98" s="176">
        <v>13.048260000000001</v>
      </c>
      <c r="E98" s="11"/>
      <c r="F98" s="11"/>
      <c r="G98" s="11"/>
    </row>
    <row r="99" spans="1:7" ht="13" outlineLevel="4" x14ac:dyDescent="0.3">
      <c r="A99" s="175" t="s">
        <v>99</v>
      </c>
      <c r="B99" s="176">
        <v>45.32443061531</v>
      </c>
      <c r="C99" s="176">
        <v>44.933349124220001</v>
      </c>
      <c r="D99" s="176">
        <v>39.840486723040001</v>
      </c>
      <c r="E99" s="11"/>
      <c r="F99" s="11"/>
      <c r="G99" s="11"/>
    </row>
    <row r="100" spans="1:7" ht="13" outlineLevel="4" x14ac:dyDescent="0.3">
      <c r="A100" s="175" t="s">
        <v>100</v>
      </c>
      <c r="B100" s="176">
        <v>8.0852744912300007</v>
      </c>
      <c r="C100" s="176">
        <v>7.9486382437099996</v>
      </c>
      <c r="D100" s="176">
        <v>7.9458066017300002</v>
      </c>
      <c r="E100" s="11"/>
      <c r="F100" s="11"/>
      <c r="G100" s="11"/>
    </row>
    <row r="101" spans="1:7" ht="13" outlineLevel="4" x14ac:dyDescent="0.3">
      <c r="A101" s="175" t="s">
        <v>103</v>
      </c>
      <c r="B101" s="176">
        <v>21.577228281509999</v>
      </c>
      <c r="C101" s="176">
        <v>21.46697854592</v>
      </c>
      <c r="D101" s="176">
        <v>21.307763145620001</v>
      </c>
      <c r="E101" s="11"/>
      <c r="F101" s="11"/>
      <c r="G101" s="11"/>
    </row>
    <row r="102" spans="1:7" ht="13" outlineLevel="4" x14ac:dyDescent="0.3">
      <c r="A102" s="175" t="s">
        <v>104</v>
      </c>
      <c r="B102" s="176">
        <v>48.108513283420002</v>
      </c>
      <c r="C102" s="176">
        <v>47.851342600780001</v>
      </c>
      <c r="D102" s="176">
        <v>42.331937613489998</v>
      </c>
      <c r="E102" s="11"/>
      <c r="F102" s="11"/>
      <c r="G102" s="11"/>
    </row>
    <row r="103" spans="1:7" ht="13" outlineLevel="4" x14ac:dyDescent="0.3">
      <c r="A103" s="175" t="s">
        <v>105</v>
      </c>
      <c r="B103" s="176">
        <v>1.227677529E-2</v>
      </c>
      <c r="C103" s="176">
        <v>1.22140466E-2</v>
      </c>
      <c r="D103" s="176">
        <v>1.212345796E-2</v>
      </c>
      <c r="E103" s="11"/>
      <c r="F103" s="11"/>
      <c r="G103" s="11"/>
    </row>
    <row r="104" spans="1:7" ht="13" outlineLevel="3" x14ac:dyDescent="0.3">
      <c r="A104" s="177" t="s">
        <v>157</v>
      </c>
      <c r="B104" s="176">
        <f>SUM(B$105:B$106)</f>
        <v>36.060648373310002</v>
      </c>
      <c r="C104" s="176">
        <f>SUM(C$105:C$106)</f>
        <v>35.870355513509999</v>
      </c>
      <c r="D104" s="176">
        <f>SUM(D$105:D$106)</f>
        <v>35.613954103519994</v>
      </c>
      <c r="E104" s="11"/>
      <c r="F104" s="11"/>
      <c r="G104" s="11"/>
    </row>
    <row r="105" spans="1:7" ht="13" outlineLevel="4" x14ac:dyDescent="0.3">
      <c r="A105" s="175" t="s">
        <v>158</v>
      </c>
      <c r="B105" s="176">
        <v>34.682175000000001</v>
      </c>
      <c r="C105" s="176">
        <v>34.504964999999999</v>
      </c>
      <c r="D105" s="176">
        <v>34.249049999999997</v>
      </c>
      <c r="E105" s="11"/>
      <c r="F105" s="11"/>
      <c r="G105" s="11"/>
    </row>
    <row r="106" spans="1:7" ht="13" outlineLevel="4" x14ac:dyDescent="0.3">
      <c r="A106" s="175" t="s">
        <v>111</v>
      </c>
      <c r="B106" s="176">
        <v>1.3784733733100001</v>
      </c>
      <c r="C106" s="176">
        <v>1.36539051351</v>
      </c>
      <c r="D106" s="176">
        <v>1.36490410352</v>
      </c>
      <c r="E106" s="11"/>
      <c r="F106" s="11"/>
      <c r="G106" s="11"/>
    </row>
    <row r="107" spans="1:7" ht="13" outlineLevel="3" x14ac:dyDescent="0.3">
      <c r="A107" s="177" t="s">
        <v>119</v>
      </c>
      <c r="B107" s="176">
        <f>SUM(B$108:B$108)</f>
        <v>7.6600232181100001</v>
      </c>
      <c r="C107" s="176">
        <f>SUM(C$108:C$108)</f>
        <v>7.4669709583400001</v>
      </c>
      <c r="D107" s="176">
        <f>SUM(D$108:D$108)</f>
        <v>7.4115902363900004</v>
      </c>
      <c r="E107" s="11"/>
      <c r="F107" s="11"/>
      <c r="G107" s="11"/>
    </row>
    <row r="108" spans="1:7" ht="13" outlineLevel="4" x14ac:dyDescent="0.3">
      <c r="A108" s="175" t="s">
        <v>159</v>
      </c>
      <c r="B108" s="176">
        <v>7.6600232181100001</v>
      </c>
      <c r="C108" s="176">
        <v>7.4669709583400001</v>
      </c>
      <c r="D108" s="176">
        <v>7.4115902363900004</v>
      </c>
      <c r="E108" s="11"/>
      <c r="F108" s="11"/>
      <c r="G108" s="11"/>
    </row>
    <row r="109" spans="1:7" ht="13" outlineLevel="3" x14ac:dyDescent="0.3">
      <c r="A109" s="177" t="s">
        <v>160</v>
      </c>
      <c r="B109" s="176">
        <f>SUM(B$110:B$110)</f>
        <v>34.682175000000001</v>
      </c>
      <c r="C109" s="176">
        <f>SUM(C$110:C$110)</f>
        <v>34.504964999999999</v>
      </c>
      <c r="D109" s="176">
        <f>SUM(D$110:D$110)</f>
        <v>34.249049999999997</v>
      </c>
      <c r="E109" s="11"/>
      <c r="F109" s="11"/>
      <c r="G109" s="11"/>
    </row>
    <row r="110" spans="1:7" ht="13" outlineLevel="4" x14ac:dyDescent="0.3">
      <c r="A110" s="175" t="s">
        <v>162</v>
      </c>
      <c r="B110" s="176">
        <v>34.682175000000001</v>
      </c>
      <c r="C110" s="176">
        <v>34.504964999999999</v>
      </c>
      <c r="D110" s="176">
        <v>34.249049999999997</v>
      </c>
      <c r="E110" s="11"/>
      <c r="F110" s="11"/>
      <c r="G110" s="11"/>
    </row>
    <row r="111" spans="1:7" ht="13" outlineLevel="3" x14ac:dyDescent="0.3">
      <c r="A111" s="177" t="s">
        <v>137</v>
      </c>
      <c r="B111" s="176">
        <f>SUM(B$112:B$112)</f>
        <v>4.4650953701700002</v>
      </c>
      <c r="C111" s="176">
        <f>SUM(C$112:C$112)</f>
        <v>4.4412265879900001</v>
      </c>
      <c r="D111" s="176">
        <f>SUM(D$112:D$112)</f>
        <v>4.4257946912300001</v>
      </c>
      <c r="E111" s="11"/>
      <c r="F111" s="11"/>
      <c r="G111" s="11"/>
    </row>
    <row r="112" spans="1:7" ht="13" outlineLevel="4" x14ac:dyDescent="0.3">
      <c r="A112" s="175" t="s">
        <v>104</v>
      </c>
      <c r="B112" s="176">
        <v>4.4650953701700002</v>
      </c>
      <c r="C112" s="176">
        <v>4.4412265879900001</v>
      </c>
      <c r="D112" s="176">
        <v>4.4257946912300001</v>
      </c>
      <c r="E112" s="11"/>
      <c r="F112" s="11"/>
      <c r="G112" s="11"/>
    </row>
    <row r="113" spans="2:7" x14ac:dyDescent="0.25">
      <c r="B113" s="10"/>
      <c r="C113" s="10"/>
      <c r="D113" s="10"/>
      <c r="E113" s="11"/>
      <c r="F113" s="11"/>
      <c r="G113" s="11"/>
    </row>
    <row r="114" spans="2:7" x14ac:dyDescent="0.25">
      <c r="B114" s="10"/>
      <c r="C114" s="10"/>
      <c r="D114" s="10"/>
      <c r="E114" s="11"/>
      <c r="F114" s="11"/>
      <c r="G114" s="11"/>
    </row>
    <row r="115" spans="2:7" x14ac:dyDescent="0.25">
      <c r="B115" s="10"/>
      <c r="C115" s="10"/>
      <c r="D115" s="10"/>
      <c r="E115" s="11"/>
      <c r="F115" s="11"/>
      <c r="G115" s="11"/>
    </row>
    <row r="116" spans="2:7" x14ac:dyDescent="0.25">
      <c r="B116" s="10"/>
      <c r="C116" s="10"/>
      <c r="D116" s="10"/>
      <c r="E116" s="11"/>
      <c r="F116" s="11"/>
      <c r="G116" s="11"/>
    </row>
    <row r="117" spans="2:7" x14ac:dyDescent="0.25">
      <c r="B117" s="10"/>
      <c r="C117" s="10"/>
      <c r="D117" s="10"/>
      <c r="E117" s="11"/>
      <c r="F117" s="11"/>
      <c r="G117" s="11"/>
    </row>
    <row r="118" spans="2:7" x14ac:dyDescent="0.25">
      <c r="B118" s="10"/>
      <c r="C118" s="10"/>
      <c r="D118" s="10"/>
      <c r="E118" s="11"/>
      <c r="F118" s="11"/>
      <c r="G118" s="11"/>
    </row>
    <row r="119" spans="2:7" x14ac:dyDescent="0.25">
      <c r="B119" s="10"/>
      <c r="C119" s="10"/>
      <c r="D119" s="10"/>
      <c r="E119" s="11"/>
      <c r="F119" s="11"/>
      <c r="G119" s="11"/>
    </row>
    <row r="120" spans="2:7" x14ac:dyDescent="0.25">
      <c r="B120" s="10"/>
      <c r="C120" s="10"/>
      <c r="D120" s="10"/>
      <c r="E120" s="11"/>
      <c r="F120" s="11"/>
      <c r="G120" s="11"/>
    </row>
    <row r="121" spans="2:7" x14ac:dyDescent="0.25">
      <c r="B121" s="10"/>
      <c r="C121" s="10"/>
      <c r="D121" s="10"/>
      <c r="E121" s="11"/>
      <c r="F121" s="11"/>
      <c r="G121" s="11"/>
    </row>
    <row r="122" spans="2:7" x14ac:dyDescent="0.25">
      <c r="B122" s="10"/>
      <c r="C122" s="10"/>
      <c r="D122" s="10"/>
      <c r="E122" s="11"/>
      <c r="F122" s="11"/>
      <c r="G122" s="11"/>
    </row>
    <row r="123" spans="2:7" x14ac:dyDescent="0.25">
      <c r="B123" s="10"/>
      <c r="C123" s="10"/>
      <c r="D123" s="10"/>
      <c r="E123" s="11"/>
      <c r="F123" s="11"/>
      <c r="G123" s="11"/>
    </row>
    <row r="124" spans="2:7" x14ac:dyDescent="0.25">
      <c r="B124" s="10"/>
      <c r="C124" s="10"/>
      <c r="D124" s="10"/>
      <c r="E124" s="11"/>
      <c r="F124" s="11"/>
      <c r="G124" s="11"/>
    </row>
    <row r="125" spans="2:7" x14ac:dyDescent="0.25">
      <c r="B125" s="10"/>
      <c r="C125" s="10"/>
      <c r="D125" s="10"/>
      <c r="E125" s="11"/>
      <c r="F125" s="11"/>
      <c r="G125" s="11"/>
    </row>
    <row r="126" spans="2:7" x14ac:dyDescent="0.25">
      <c r="B126" s="10"/>
      <c r="C126" s="10"/>
      <c r="D126" s="10"/>
      <c r="E126" s="11"/>
      <c r="F126" s="11"/>
      <c r="G126" s="11"/>
    </row>
    <row r="127" spans="2:7" x14ac:dyDescent="0.25">
      <c r="B127" s="10"/>
      <c r="C127" s="10"/>
      <c r="D127" s="10"/>
      <c r="E127" s="11"/>
      <c r="F127" s="11"/>
      <c r="G127" s="11"/>
    </row>
    <row r="128" spans="2:7" x14ac:dyDescent="0.25">
      <c r="B128" s="10"/>
      <c r="C128" s="10"/>
      <c r="D128" s="10"/>
      <c r="E128" s="11"/>
      <c r="F128" s="11"/>
      <c r="G128" s="11"/>
    </row>
    <row r="129" spans="2:7" x14ac:dyDescent="0.25">
      <c r="B129" s="10"/>
      <c r="C129" s="10"/>
      <c r="D129" s="10"/>
      <c r="E129" s="11"/>
      <c r="F129" s="11"/>
      <c r="G129" s="11"/>
    </row>
    <row r="130" spans="2:7" x14ac:dyDescent="0.25">
      <c r="B130" s="10"/>
      <c r="C130" s="10"/>
      <c r="D130" s="10"/>
      <c r="E130" s="11"/>
      <c r="F130" s="11"/>
      <c r="G130" s="11"/>
    </row>
    <row r="131" spans="2:7" x14ac:dyDescent="0.25">
      <c r="B131" s="10"/>
      <c r="C131" s="10"/>
      <c r="D131" s="10"/>
      <c r="E131" s="11"/>
      <c r="F131" s="11"/>
      <c r="G131" s="11"/>
    </row>
    <row r="132" spans="2:7" x14ac:dyDescent="0.25">
      <c r="B132" s="10"/>
      <c r="C132" s="10"/>
      <c r="D132" s="10"/>
      <c r="E132" s="11"/>
      <c r="F132" s="11"/>
      <c r="G132" s="11"/>
    </row>
    <row r="133" spans="2:7" x14ac:dyDescent="0.25">
      <c r="B133" s="10"/>
      <c r="C133" s="10"/>
      <c r="D133" s="10"/>
      <c r="E133" s="11"/>
      <c r="F133" s="11"/>
      <c r="G133" s="11"/>
    </row>
    <row r="134" spans="2:7" x14ac:dyDescent="0.25">
      <c r="B134" s="10"/>
      <c r="C134" s="10"/>
      <c r="D134" s="10"/>
      <c r="E134" s="11"/>
      <c r="F134" s="11"/>
      <c r="G134" s="11"/>
    </row>
    <row r="135" spans="2:7" x14ac:dyDescent="0.25">
      <c r="B135" s="10"/>
      <c r="C135" s="10"/>
      <c r="D135" s="10"/>
      <c r="E135" s="11"/>
      <c r="F135" s="11"/>
      <c r="G135" s="11"/>
    </row>
    <row r="136" spans="2:7" x14ac:dyDescent="0.25">
      <c r="B136" s="10"/>
      <c r="C136" s="10"/>
      <c r="D136" s="10"/>
      <c r="E136" s="11"/>
      <c r="F136" s="11"/>
      <c r="G136" s="11"/>
    </row>
    <row r="137" spans="2:7" x14ac:dyDescent="0.25">
      <c r="B137" s="10"/>
      <c r="C137" s="10"/>
      <c r="D137" s="10"/>
      <c r="E137" s="11"/>
      <c r="F137" s="11"/>
      <c r="G137" s="11"/>
    </row>
    <row r="138" spans="2:7" x14ac:dyDescent="0.25">
      <c r="B138" s="10"/>
      <c r="C138" s="10"/>
      <c r="D138" s="10"/>
      <c r="E138" s="11"/>
      <c r="F138" s="11"/>
      <c r="G138" s="11"/>
    </row>
    <row r="139" spans="2:7" x14ac:dyDescent="0.25">
      <c r="B139" s="10"/>
      <c r="C139" s="10"/>
      <c r="D139" s="10"/>
      <c r="E139" s="11"/>
      <c r="F139" s="11"/>
      <c r="G139" s="11"/>
    </row>
    <row r="140" spans="2:7" x14ac:dyDescent="0.25">
      <c r="B140" s="10"/>
      <c r="C140" s="10"/>
      <c r="D140" s="10"/>
      <c r="E140" s="11"/>
      <c r="F140" s="11"/>
      <c r="G140" s="11"/>
    </row>
    <row r="141" spans="2:7" x14ac:dyDescent="0.25">
      <c r="B141" s="10"/>
      <c r="C141" s="10"/>
      <c r="D141" s="10"/>
      <c r="E141" s="11"/>
      <c r="F141" s="11"/>
      <c r="G141" s="11"/>
    </row>
    <row r="142" spans="2:7" x14ac:dyDescent="0.25">
      <c r="B142" s="10"/>
      <c r="C142" s="10"/>
      <c r="D142" s="10"/>
      <c r="E142" s="11"/>
      <c r="F142" s="11"/>
      <c r="G142" s="11"/>
    </row>
    <row r="143" spans="2:7" x14ac:dyDescent="0.25">
      <c r="B143" s="10"/>
      <c r="C143" s="10"/>
      <c r="D143" s="10"/>
      <c r="E143" s="11"/>
      <c r="F143" s="11"/>
      <c r="G143" s="11"/>
    </row>
    <row r="144" spans="2:7" x14ac:dyDescent="0.25">
      <c r="B144" s="10"/>
      <c r="C144" s="10"/>
      <c r="D144" s="10"/>
      <c r="E144" s="11"/>
      <c r="F144" s="11"/>
      <c r="G144" s="11"/>
    </row>
    <row r="145" spans="2:7" x14ac:dyDescent="0.25">
      <c r="B145" s="10"/>
      <c r="C145" s="10"/>
      <c r="D145" s="10"/>
      <c r="E145" s="11"/>
      <c r="F145" s="11"/>
      <c r="G145" s="11"/>
    </row>
    <row r="146" spans="2:7" x14ac:dyDescent="0.25">
      <c r="B146" s="10"/>
      <c r="C146" s="10"/>
      <c r="D146" s="10"/>
      <c r="E146" s="11"/>
      <c r="F146" s="11"/>
      <c r="G146" s="11"/>
    </row>
    <row r="147" spans="2:7" x14ac:dyDescent="0.25">
      <c r="B147" s="10"/>
      <c r="C147" s="10"/>
      <c r="D147" s="10"/>
      <c r="E147" s="11"/>
      <c r="F147" s="11"/>
      <c r="G147" s="11"/>
    </row>
    <row r="148" spans="2:7" x14ac:dyDescent="0.25">
      <c r="B148" s="10"/>
      <c r="C148" s="10"/>
      <c r="D148" s="10"/>
      <c r="E148" s="11"/>
      <c r="F148" s="11"/>
      <c r="G148" s="11"/>
    </row>
    <row r="149" spans="2:7" x14ac:dyDescent="0.25">
      <c r="B149" s="10"/>
      <c r="C149" s="10"/>
      <c r="D149" s="10"/>
      <c r="E149" s="11"/>
      <c r="F149" s="11"/>
      <c r="G149" s="11"/>
    </row>
    <row r="150" spans="2:7" x14ac:dyDescent="0.25">
      <c r="B150" s="10"/>
      <c r="C150" s="10"/>
      <c r="D150" s="10"/>
      <c r="E150" s="11"/>
      <c r="F150" s="11"/>
      <c r="G150" s="11"/>
    </row>
    <row r="151" spans="2:7" x14ac:dyDescent="0.25">
      <c r="B151" s="10"/>
      <c r="C151" s="10"/>
      <c r="D151" s="10"/>
      <c r="E151" s="11"/>
      <c r="F151" s="11"/>
      <c r="G151" s="11"/>
    </row>
    <row r="152" spans="2:7" x14ac:dyDescent="0.25">
      <c r="B152" s="10"/>
      <c r="C152" s="10"/>
      <c r="D152" s="10"/>
      <c r="E152" s="11"/>
      <c r="F152" s="11"/>
      <c r="G152" s="11"/>
    </row>
    <row r="153" spans="2:7" x14ac:dyDescent="0.25">
      <c r="B153" s="10"/>
      <c r="C153" s="10"/>
      <c r="D153" s="10"/>
      <c r="E153" s="11"/>
      <c r="F153" s="11"/>
      <c r="G153" s="11"/>
    </row>
    <row r="154" spans="2:7" x14ac:dyDescent="0.25">
      <c r="B154" s="10"/>
      <c r="C154" s="10"/>
      <c r="D154" s="10"/>
      <c r="E154" s="11"/>
      <c r="F154" s="11"/>
      <c r="G154" s="11"/>
    </row>
    <row r="155" spans="2:7" x14ac:dyDescent="0.25">
      <c r="B155" s="10"/>
      <c r="C155" s="10"/>
      <c r="D155" s="10"/>
      <c r="E155" s="11"/>
      <c r="F155" s="11"/>
      <c r="G155" s="11"/>
    </row>
    <row r="156" spans="2:7" x14ac:dyDescent="0.25">
      <c r="B156" s="10"/>
      <c r="C156" s="10"/>
      <c r="D156" s="10"/>
      <c r="E156" s="11"/>
      <c r="F156" s="11"/>
      <c r="G156" s="11"/>
    </row>
    <row r="157" spans="2:7" x14ac:dyDescent="0.25">
      <c r="B157" s="10"/>
      <c r="C157" s="10"/>
      <c r="D157" s="10"/>
      <c r="E157" s="11"/>
      <c r="F157" s="11"/>
      <c r="G157" s="11"/>
    </row>
    <row r="158" spans="2:7" x14ac:dyDescent="0.25">
      <c r="B158" s="10"/>
      <c r="C158" s="10"/>
      <c r="D158" s="10"/>
      <c r="E158" s="11"/>
      <c r="F158" s="11"/>
      <c r="G158" s="11"/>
    </row>
    <row r="159" spans="2:7" x14ac:dyDescent="0.25">
      <c r="B159" s="10"/>
      <c r="C159" s="10"/>
      <c r="D159" s="10"/>
      <c r="E159" s="11"/>
      <c r="F159" s="11"/>
      <c r="G159" s="11"/>
    </row>
    <row r="160" spans="2:7" x14ac:dyDescent="0.25">
      <c r="B160" s="10"/>
      <c r="C160" s="10"/>
      <c r="D160" s="10"/>
      <c r="E160" s="11"/>
      <c r="F160" s="11"/>
      <c r="G160" s="11"/>
    </row>
    <row r="161" spans="2:7" x14ac:dyDescent="0.25">
      <c r="B161" s="10"/>
      <c r="C161" s="10"/>
      <c r="D161" s="10"/>
      <c r="E161" s="11"/>
      <c r="F161" s="11"/>
      <c r="G161" s="11"/>
    </row>
    <row r="162" spans="2:7" x14ac:dyDescent="0.25">
      <c r="B162" s="10"/>
      <c r="C162" s="10"/>
      <c r="D162" s="10"/>
      <c r="E162" s="11"/>
      <c r="F162" s="11"/>
      <c r="G162" s="11"/>
    </row>
    <row r="163" spans="2:7" x14ac:dyDescent="0.25">
      <c r="B163" s="10"/>
      <c r="C163" s="10"/>
      <c r="D163" s="10"/>
      <c r="E163" s="11"/>
      <c r="F163" s="11"/>
      <c r="G163" s="11"/>
    </row>
    <row r="164" spans="2:7" x14ac:dyDescent="0.25">
      <c r="B164" s="10"/>
      <c r="C164" s="10"/>
      <c r="D164" s="10"/>
      <c r="E164" s="11"/>
      <c r="F164" s="11"/>
      <c r="G164" s="11"/>
    </row>
    <row r="165" spans="2:7" x14ac:dyDescent="0.25">
      <c r="B165" s="10"/>
      <c r="C165" s="10"/>
      <c r="D165" s="10"/>
      <c r="E165" s="11"/>
      <c r="F165" s="11"/>
      <c r="G165" s="11"/>
    </row>
    <row r="166" spans="2:7" x14ac:dyDescent="0.25">
      <c r="B166" s="10"/>
      <c r="C166" s="10"/>
      <c r="D166" s="10"/>
      <c r="E166" s="11"/>
      <c r="F166" s="11"/>
      <c r="G166" s="11"/>
    </row>
    <row r="167" spans="2:7" x14ac:dyDescent="0.25">
      <c r="B167" s="10"/>
      <c r="C167" s="10"/>
      <c r="D167" s="10"/>
      <c r="E167" s="11"/>
      <c r="F167" s="11"/>
      <c r="G167" s="11"/>
    </row>
    <row r="168" spans="2:7" x14ac:dyDescent="0.25">
      <c r="B168" s="10"/>
      <c r="C168" s="10"/>
      <c r="D168" s="10"/>
      <c r="E168" s="11"/>
      <c r="F168" s="11"/>
      <c r="G168" s="11"/>
    </row>
    <row r="169" spans="2:7" x14ac:dyDescent="0.25">
      <c r="B169" s="10"/>
      <c r="C169" s="10"/>
      <c r="D169" s="10"/>
      <c r="E169" s="11"/>
      <c r="F169" s="11"/>
      <c r="G169" s="11"/>
    </row>
    <row r="170" spans="2:7" x14ac:dyDescent="0.25">
      <c r="B170" s="10"/>
      <c r="C170" s="10"/>
      <c r="D170" s="10"/>
      <c r="E170" s="11"/>
      <c r="F170" s="11"/>
      <c r="G170" s="11"/>
    </row>
    <row r="171" spans="2:7" x14ac:dyDescent="0.25">
      <c r="B171" s="10"/>
      <c r="C171" s="10"/>
      <c r="D171" s="10"/>
      <c r="E171" s="11"/>
      <c r="F171" s="11"/>
      <c r="G171" s="11"/>
    </row>
    <row r="172" spans="2:7" x14ac:dyDescent="0.25">
      <c r="B172" s="10"/>
      <c r="C172" s="10"/>
      <c r="D172" s="10"/>
      <c r="E172" s="11"/>
      <c r="F172" s="11"/>
      <c r="G172" s="11"/>
    </row>
    <row r="173" spans="2:7" x14ac:dyDescent="0.25">
      <c r="B173" s="10"/>
      <c r="C173" s="10"/>
      <c r="D173" s="10"/>
      <c r="E173" s="11"/>
      <c r="F173" s="11"/>
      <c r="G173" s="11"/>
    </row>
    <row r="174" spans="2:7" x14ac:dyDescent="0.25">
      <c r="B174" s="10"/>
      <c r="C174" s="10"/>
      <c r="D174" s="10"/>
      <c r="E174" s="11"/>
      <c r="F174" s="11"/>
      <c r="G174" s="11"/>
    </row>
    <row r="175" spans="2:7" x14ac:dyDescent="0.25">
      <c r="B175" s="10"/>
      <c r="C175" s="10"/>
      <c r="D175" s="10"/>
      <c r="E175" s="11"/>
      <c r="F175" s="11"/>
      <c r="G175" s="11"/>
    </row>
    <row r="176" spans="2:7" x14ac:dyDescent="0.25">
      <c r="B176" s="10"/>
      <c r="C176" s="10"/>
      <c r="D176" s="10"/>
      <c r="E176" s="11"/>
      <c r="F176" s="11"/>
      <c r="G176" s="11"/>
    </row>
    <row r="177" spans="2:7" x14ac:dyDescent="0.25">
      <c r="B177" s="10"/>
      <c r="C177" s="10"/>
      <c r="D177" s="10"/>
      <c r="E177" s="11"/>
      <c r="F177" s="11"/>
      <c r="G177" s="11"/>
    </row>
    <row r="178" spans="2:7" x14ac:dyDescent="0.25">
      <c r="B178" s="10"/>
      <c r="C178" s="10"/>
      <c r="D178" s="10"/>
      <c r="E178" s="11"/>
      <c r="F178" s="11"/>
      <c r="G178" s="11"/>
    </row>
    <row r="179" spans="2:7" x14ac:dyDescent="0.25">
      <c r="B179" s="10"/>
      <c r="C179" s="10"/>
      <c r="D179" s="10"/>
      <c r="E179" s="11"/>
      <c r="F179" s="11"/>
      <c r="G179" s="11"/>
    </row>
    <row r="180" spans="2:7" x14ac:dyDescent="0.25">
      <c r="B180" s="10"/>
      <c r="C180" s="10"/>
      <c r="D180" s="10"/>
      <c r="E180" s="11"/>
      <c r="F180" s="11"/>
      <c r="G180" s="11"/>
    </row>
  </sheetData>
  <mergeCells count="2">
    <mergeCell ref="A2:D2"/>
    <mergeCell ref="A1:D1"/>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2" bestFit="1" customWidth="1"/>
    <col min="2" max="2" width="14.26953125" style="23" customWidth="1"/>
    <col min="3" max="3" width="15.1796875" style="23" customWidth="1"/>
    <col min="4" max="4" width="10.26953125" style="72" customWidth="1"/>
    <col min="5" max="5" width="8.81640625" style="22" hidden="1" customWidth="1"/>
    <col min="6" max="6" width="9.1796875" style="22" customWidth="1"/>
    <col min="7" max="16384" width="9.1796875" style="22"/>
  </cols>
  <sheetData>
    <row r="2" spans="1:20" ht="39" customHeight="1" x14ac:dyDescent="0.45">
      <c r="A2" s="289" t="str">
        <f>DEBT_BY_REPAYMENT</f>
        <v>Структура державного та гарантованого державою боргу
в розрізі термінів погашення</v>
      </c>
      <c r="B2" s="280"/>
      <c r="C2" s="280"/>
      <c r="D2" s="280"/>
      <c r="E2" s="280"/>
      <c r="F2" s="26"/>
      <c r="G2" s="26"/>
      <c r="H2" s="26"/>
      <c r="I2" s="26"/>
      <c r="J2" s="26"/>
      <c r="K2" s="26"/>
      <c r="L2" s="26"/>
      <c r="M2" s="26"/>
      <c r="N2" s="26"/>
      <c r="O2" s="26"/>
      <c r="P2" s="26"/>
      <c r="Q2" s="26"/>
      <c r="R2" s="26"/>
      <c r="S2" s="26"/>
      <c r="T2" s="26"/>
    </row>
    <row r="3" spans="1:20" x14ac:dyDescent="0.3">
      <c r="A3" s="24"/>
    </row>
    <row r="4" spans="1:20" s="27" customFormat="1" x14ac:dyDescent="0.3">
      <c r="B4" s="28"/>
      <c r="C4" s="28"/>
      <c r="D4" s="67" t="str">
        <f>VALVAL</f>
        <v>млрд. одиниць</v>
      </c>
    </row>
    <row r="5" spans="1:20" s="14" customFormat="1" x14ac:dyDescent="0.25">
      <c r="A5" s="12"/>
      <c r="B5" s="68" t="str">
        <f>USD</f>
        <v>дол.США</v>
      </c>
      <c r="C5" s="68" t="str">
        <f>UAH</f>
        <v>грн.</v>
      </c>
      <c r="D5" s="69" t="s">
        <v>0</v>
      </c>
      <c r="E5" s="57" t="s">
        <v>6</v>
      </c>
    </row>
    <row r="6" spans="1:20" s="15" customFormat="1" ht="14.5" x14ac:dyDescent="0.25">
      <c r="A6" s="152" t="str">
        <f>DEBT_TOTAL</f>
        <v>Загальна сума державного та гарантованого державою боргу</v>
      </c>
      <c r="B6" s="43">
        <f>SUM(B$7+ B$8+ B$9)</f>
        <v>169.08837600779998</v>
      </c>
      <c r="C6" s="43">
        <f>SUM(C$7+ C$8+ C$9)</f>
        <v>7019.5348415889603</v>
      </c>
      <c r="D6" s="98">
        <f>SUM(D$7+ D$8+ D$9)</f>
        <v>0.99999899999999997</v>
      </c>
      <c r="E6" s="32" t="s">
        <v>51</v>
      </c>
    </row>
    <row r="7" spans="1:20" s="38" customFormat="1" outlineLevel="1" x14ac:dyDescent="0.25">
      <c r="A7" s="160" t="s">
        <v>52</v>
      </c>
      <c r="B7" s="166">
        <v>11.00550804968</v>
      </c>
      <c r="C7" s="166">
        <v>456.88266117363997</v>
      </c>
      <c r="D7" s="230">
        <v>6.5087000000000006E-2</v>
      </c>
      <c r="E7" s="103" t="s">
        <v>53</v>
      </c>
    </row>
    <row r="8" spans="1:20" s="38" customFormat="1" outlineLevel="1" x14ac:dyDescent="0.25">
      <c r="A8" s="160" t="s">
        <v>54</v>
      </c>
      <c r="B8" s="166">
        <v>28.90472084776</v>
      </c>
      <c r="C8" s="166">
        <v>1199.95058127726</v>
      </c>
      <c r="D8" s="230">
        <v>0.17094400000000001</v>
      </c>
      <c r="E8" s="103" t="s">
        <v>53</v>
      </c>
    </row>
    <row r="9" spans="1:20" s="38" customFormat="1" outlineLevel="1" x14ac:dyDescent="0.25">
      <c r="A9" s="160" t="s">
        <v>55</v>
      </c>
      <c r="B9" s="166">
        <v>129.17814711035999</v>
      </c>
      <c r="C9" s="166">
        <v>5362.7015991380604</v>
      </c>
      <c r="D9" s="230">
        <v>0.76396799999999998</v>
      </c>
      <c r="E9" s="103" t="s">
        <v>53</v>
      </c>
    </row>
    <row r="10" spans="1:20" x14ac:dyDescent="0.3">
      <c r="B10" s="25"/>
      <c r="C10" s="25"/>
      <c r="D10" s="63"/>
      <c r="E10" s="26"/>
      <c r="F10" s="26"/>
      <c r="G10" s="26"/>
      <c r="H10" s="26"/>
      <c r="I10" s="26"/>
      <c r="J10" s="26"/>
      <c r="K10" s="26"/>
      <c r="L10" s="26"/>
      <c r="M10" s="26"/>
      <c r="N10" s="26"/>
      <c r="O10" s="26"/>
      <c r="P10" s="26"/>
      <c r="Q10" s="26"/>
      <c r="R10" s="26"/>
    </row>
    <row r="11" spans="1:20" x14ac:dyDescent="0.3">
      <c r="B11" s="25"/>
      <c r="C11" s="25"/>
      <c r="D11" s="63"/>
      <c r="E11" s="26"/>
      <c r="F11" s="26"/>
      <c r="G11" s="26"/>
      <c r="H11" s="26"/>
      <c r="I11" s="26"/>
      <c r="J11" s="26"/>
      <c r="K11" s="26"/>
      <c r="L11" s="26"/>
      <c r="M11" s="26"/>
      <c r="N11" s="26"/>
      <c r="O11" s="26"/>
      <c r="P11" s="26"/>
      <c r="Q11" s="26"/>
      <c r="R11" s="26"/>
    </row>
    <row r="12" spans="1:20" x14ac:dyDescent="0.3">
      <c r="B12" s="25"/>
      <c r="C12" s="25"/>
      <c r="D12" s="63"/>
      <c r="E12" s="26"/>
      <c r="F12" s="26"/>
      <c r="G12" s="26"/>
      <c r="H12" s="26"/>
      <c r="I12" s="26"/>
      <c r="J12" s="26"/>
      <c r="K12" s="26"/>
      <c r="L12" s="26"/>
      <c r="M12" s="26"/>
      <c r="N12" s="26"/>
      <c r="O12" s="26"/>
      <c r="P12" s="26"/>
      <c r="Q12" s="26"/>
      <c r="R12" s="26"/>
    </row>
    <row r="13" spans="1:20" x14ac:dyDescent="0.3">
      <c r="B13" s="25"/>
      <c r="C13" s="25"/>
      <c r="D13" s="63"/>
      <c r="E13" s="26"/>
      <c r="F13" s="26"/>
      <c r="G13" s="26"/>
      <c r="H13" s="26"/>
      <c r="I13" s="26"/>
      <c r="J13" s="26"/>
      <c r="K13" s="26"/>
      <c r="L13" s="26"/>
      <c r="M13" s="26"/>
      <c r="N13" s="26"/>
      <c r="O13" s="26"/>
      <c r="P13" s="26"/>
      <c r="Q13" s="26"/>
      <c r="R13" s="26"/>
    </row>
    <row r="14" spans="1:20" x14ac:dyDescent="0.3">
      <c r="B14" s="25"/>
      <c r="C14" s="25"/>
      <c r="D14" s="63"/>
      <c r="E14" s="26"/>
      <c r="F14" s="26"/>
      <c r="G14" s="26"/>
      <c r="H14" s="26"/>
      <c r="I14" s="26"/>
      <c r="J14" s="26"/>
      <c r="K14" s="26"/>
      <c r="L14" s="26"/>
      <c r="M14" s="26"/>
      <c r="N14" s="26"/>
      <c r="O14" s="26"/>
      <c r="P14" s="26"/>
      <c r="Q14" s="26"/>
      <c r="R14" s="26"/>
    </row>
    <row r="15" spans="1:20" x14ac:dyDescent="0.3">
      <c r="B15" s="25"/>
      <c r="C15" s="25"/>
      <c r="D15" s="63"/>
      <c r="E15" s="26"/>
      <c r="F15" s="26"/>
      <c r="G15" s="26"/>
      <c r="H15" s="26"/>
      <c r="I15" s="26"/>
      <c r="J15" s="26"/>
      <c r="K15" s="26"/>
      <c r="L15" s="26"/>
      <c r="M15" s="26"/>
      <c r="N15" s="26"/>
      <c r="O15" s="26"/>
      <c r="P15" s="26"/>
      <c r="Q15" s="26"/>
      <c r="R15" s="26"/>
    </row>
    <row r="16" spans="1:20" x14ac:dyDescent="0.3">
      <c r="B16" s="25"/>
      <c r="C16" s="25"/>
      <c r="D16" s="63"/>
      <c r="E16" s="26"/>
      <c r="F16" s="26"/>
      <c r="G16" s="26"/>
      <c r="H16" s="26"/>
      <c r="I16" s="26"/>
      <c r="J16" s="26"/>
      <c r="K16" s="26"/>
      <c r="L16" s="26"/>
      <c r="M16" s="26"/>
      <c r="N16" s="26"/>
      <c r="O16" s="26"/>
      <c r="P16" s="26"/>
      <c r="Q16" s="26"/>
      <c r="R16" s="26"/>
    </row>
    <row r="17" spans="2:18" x14ac:dyDescent="0.3">
      <c r="B17" s="25"/>
      <c r="C17" s="25"/>
      <c r="D17" s="63"/>
      <c r="E17" s="26"/>
      <c r="F17" s="26"/>
      <c r="G17" s="26"/>
      <c r="H17" s="26"/>
      <c r="I17" s="26"/>
      <c r="J17" s="26"/>
      <c r="K17" s="26"/>
      <c r="L17" s="26"/>
      <c r="M17" s="26"/>
      <c r="N17" s="26"/>
      <c r="O17" s="26"/>
      <c r="P17" s="26"/>
      <c r="Q17" s="26"/>
      <c r="R17" s="26"/>
    </row>
    <row r="18" spans="2:18" x14ac:dyDescent="0.3">
      <c r="B18" s="25"/>
      <c r="C18" s="25"/>
      <c r="D18" s="63"/>
      <c r="E18" s="26"/>
      <c r="F18" s="26"/>
      <c r="G18" s="26"/>
      <c r="H18" s="26"/>
      <c r="I18" s="26"/>
      <c r="J18" s="26"/>
      <c r="K18" s="26"/>
      <c r="L18" s="26"/>
      <c r="M18" s="26"/>
      <c r="N18" s="26"/>
      <c r="O18" s="26"/>
      <c r="P18" s="26"/>
      <c r="Q18" s="26"/>
      <c r="R18" s="26"/>
    </row>
    <row r="19" spans="2:18" x14ac:dyDescent="0.3">
      <c r="B19" s="25"/>
      <c r="C19" s="25"/>
      <c r="D19" s="63"/>
      <c r="E19" s="26"/>
      <c r="F19" s="26"/>
      <c r="G19" s="26"/>
      <c r="H19" s="26"/>
      <c r="I19" s="26"/>
      <c r="J19" s="26"/>
      <c r="K19" s="26"/>
      <c r="L19" s="26"/>
      <c r="M19" s="26"/>
      <c r="N19" s="26"/>
      <c r="O19" s="26"/>
      <c r="P19" s="26"/>
      <c r="Q19" s="26"/>
      <c r="R19" s="26"/>
    </row>
    <row r="20" spans="2:18" x14ac:dyDescent="0.3">
      <c r="B20" s="25"/>
      <c r="C20" s="25"/>
      <c r="D20" s="63"/>
      <c r="E20" s="26"/>
      <c r="F20" s="26"/>
      <c r="G20" s="26"/>
      <c r="H20" s="26"/>
      <c r="I20" s="26"/>
      <c r="J20" s="26"/>
      <c r="K20" s="26"/>
      <c r="L20" s="26"/>
      <c r="M20" s="26"/>
      <c r="N20" s="26"/>
      <c r="O20" s="26"/>
      <c r="P20" s="26"/>
      <c r="Q20" s="26"/>
      <c r="R20" s="26"/>
    </row>
    <row r="21" spans="2:18" x14ac:dyDescent="0.3">
      <c r="B21" s="25"/>
      <c r="C21" s="25"/>
      <c r="D21" s="63"/>
      <c r="E21" s="26"/>
      <c r="F21" s="26"/>
      <c r="G21" s="26"/>
      <c r="H21" s="26"/>
      <c r="I21" s="26"/>
      <c r="J21" s="26"/>
      <c r="K21" s="26"/>
      <c r="L21" s="26"/>
      <c r="M21" s="26"/>
      <c r="N21" s="26"/>
      <c r="O21" s="26"/>
      <c r="P21" s="26"/>
      <c r="Q21" s="26"/>
      <c r="R21" s="26"/>
    </row>
    <row r="22" spans="2:18" x14ac:dyDescent="0.3">
      <c r="B22" s="25"/>
      <c r="C22" s="25"/>
      <c r="D22" s="63"/>
      <c r="E22" s="26"/>
      <c r="F22" s="26"/>
      <c r="G22" s="26"/>
      <c r="H22" s="26"/>
      <c r="I22" s="26"/>
      <c r="J22" s="26"/>
      <c r="K22" s="26"/>
      <c r="L22" s="26"/>
      <c r="M22" s="26"/>
      <c r="N22" s="26"/>
      <c r="O22" s="26"/>
      <c r="P22" s="26"/>
      <c r="Q22" s="26"/>
      <c r="R22" s="26"/>
    </row>
    <row r="23" spans="2:18" x14ac:dyDescent="0.3">
      <c r="B23" s="25"/>
      <c r="C23" s="25"/>
      <c r="D23" s="63"/>
      <c r="E23" s="26"/>
      <c r="F23" s="26"/>
      <c r="G23" s="26"/>
      <c r="H23" s="26"/>
      <c r="I23" s="26"/>
      <c r="J23" s="26"/>
      <c r="K23" s="26"/>
      <c r="L23" s="26"/>
      <c r="M23" s="26"/>
      <c r="N23" s="26"/>
      <c r="O23" s="26"/>
      <c r="P23" s="26"/>
      <c r="Q23" s="26"/>
      <c r="R23" s="26"/>
    </row>
    <row r="24" spans="2:18" x14ac:dyDescent="0.3">
      <c r="B24" s="25"/>
      <c r="C24" s="25"/>
      <c r="D24" s="63"/>
      <c r="E24" s="26"/>
      <c r="F24" s="26"/>
      <c r="G24" s="26"/>
      <c r="H24" s="26"/>
      <c r="I24" s="26"/>
      <c r="J24" s="26"/>
      <c r="K24" s="26"/>
      <c r="L24" s="26"/>
      <c r="M24" s="26"/>
      <c r="N24" s="26"/>
      <c r="O24" s="26"/>
      <c r="P24" s="26"/>
      <c r="Q24" s="26"/>
      <c r="R24" s="26"/>
    </row>
    <row r="25" spans="2:18" x14ac:dyDescent="0.3">
      <c r="B25" s="25"/>
      <c r="C25" s="25"/>
      <c r="D25" s="63"/>
      <c r="E25" s="26"/>
      <c r="F25" s="26"/>
      <c r="G25" s="26"/>
      <c r="H25" s="26"/>
      <c r="I25" s="26"/>
      <c r="J25" s="26"/>
      <c r="K25" s="26"/>
      <c r="L25" s="26"/>
      <c r="M25" s="26"/>
      <c r="N25" s="26"/>
      <c r="O25" s="26"/>
      <c r="P25" s="26"/>
      <c r="Q25" s="26"/>
      <c r="R25" s="26"/>
    </row>
    <row r="26" spans="2:18" x14ac:dyDescent="0.3">
      <c r="B26" s="25"/>
      <c r="C26" s="25"/>
      <c r="D26" s="63"/>
      <c r="E26" s="26"/>
      <c r="F26" s="26"/>
      <c r="G26" s="26"/>
      <c r="H26" s="26"/>
      <c r="I26" s="26"/>
      <c r="J26" s="26"/>
      <c r="K26" s="26"/>
      <c r="L26" s="26"/>
      <c r="M26" s="26"/>
      <c r="N26" s="26"/>
      <c r="O26" s="26"/>
      <c r="P26" s="26"/>
      <c r="Q26" s="26"/>
      <c r="R26" s="26"/>
    </row>
    <row r="27" spans="2:18" x14ac:dyDescent="0.3">
      <c r="B27" s="25"/>
      <c r="C27" s="25"/>
      <c r="D27" s="63"/>
      <c r="E27" s="26"/>
      <c r="F27" s="26"/>
      <c r="G27" s="26"/>
      <c r="H27" s="26"/>
      <c r="I27" s="26"/>
      <c r="J27" s="26"/>
      <c r="K27" s="26"/>
      <c r="L27" s="26"/>
      <c r="M27" s="26"/>
      <c r="N27" s="26"/>
      <c r="O27" s="26"/>
      <c r="P27" s="26"/>
      <c r="Q27" s="26"/>
      <c r="R27" s="26"/>
    </row>
    <row r="28" spans="2:18" x14ac:dyDescent="0.3">
      <c r="B28" s="25"/>
      <c r="C28" s="25"/>
      <c r="D28" s="63"/>
      <c r="E28" s="26"/>
      <c r="F28" s="26"/>
      <c r="G28" s="26"/>
      <c r="H28" s="26"/>
      <c r="I28" s="26"/>
      <c r="J28" s="26"/>
      <c r="K28" s="26"/>
      <c r="L28" s="26"/>
      <c r="M28" s="26"/>
      <c r="N28" s="26"/>
      <c r="O28" s="26"/>
      <c r="P28" s="26"/>
      <c r="Q28" s="26"/>
      <c r="R28" s="26"/>
    </row>
    <row r="29" spans="2:18" x14ac:dyDescent="0.3">
      <c r="B29" s="25"/>
      <c r="C29" s="25"/>
      <c r="D29" s="63"/>
      <c r="E29" s="26"/>
      <c r="F29" s="26"/>
      <c r="G29" s="26"/>
      <c r="H29" s="26"/>
      <c r="I29" s="26"/>
      <c r="J29" s="26"/>
      <c r="K29" s="26"/>
      <c r="L29" s="26"/>
      <c r="M29" s="26"/>
      <c r="N29" s="26"/>
      <c r="O29" s="26"/>
      <c r="P29" s="26"/>
      <c r="Q29" s="26"/>
      <c r="R29" s="26"/>
    </row>
    <row r="30" spans="2:18" x14ac:dyDescent="0.3">
      <c r="B30" s="25"/>
      <c r="C30" s="25"/>
      <c r="D30" s="63"/>
      <c r="E30" s="26"/>
      <c r="F30" s="26"/>
      <c r="G30" s="26"/>
      <c r="H30" s="26"/>
      <c r="I30" s="26"/>
      <c r="J30" s="26"/>
      <c r="K30" s="26"/>
      <c r="L30" s="26"/>
      <c r="M30" s="26"/>
      <c r="N30" s="26"/>
      <c r="O30" s="26"/>
      <c r="P30" s="26"/>
      <c r="Q30" s="26"/>
      <c r="R30" s="26"/>
    </row>
    <row r="31" spans="2:18" x14ac:dyDescent="0.3">
      <c r="B31" s="25"/>
      <c r="C31" s="25"/>
      <c r="D31" s="63"/>
      <c r="E31" s="26"/>
      <c r="F31" s="26"/>
      <c r="G31" s="26"/>
      <c r="H31" s="26"/>
      <c r="I31" s="26"/>
      <c r="J31" s="26"/>
      <c r="K31" s="26"/>
      <c r="L31" s="26"/>
      <c r="M31" s="26"/>
      <c r="N31" s="26"/>
      <c r="O31" s="26"/>
      <c r="P31" s="26"/>
      <c r="Q31" s="26"/>
      <c r="R31" s="26"/>
    </row>
    <row r="32" spans="2: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row r="233" spans="2:18" x14ac:dyDescent="0.3">
      <c r="B233" s="25"/>
      <c r="C233" s="25"/>
      <c r="D233" s="63"/>
      <c r="E233" s="26"/>
      <c r="F233" s="26"/>
      <c r="G233" s="26"/>
      <c r="H233" s="26"/>
      <c r="I233" s="26"/>
      <c r="J233" s="26"/>
      <c r="K233" s="26"/>
      <c r="L233" s="26"/>
      <c r="M233" s="26"/>
      <c r="N233" s="26"/>
      <c r="O233" s="26"/>
      <c r="P233" s="26"/>
      <c r="Q233" s="26"/>
      <c r="R233" s="26"/>
    </row>
    <row r="234" spans="2:18" x14ac:dyDescent="0.3">
      <c r="B234" s="25"/>
      <c r="C234" s="25"/>
      <c r="D234" s="63"/>
      <c r="E234" s="26"/>
      <c r="F234" s="26"/>
      <c r="G234" s="26"/>
      <c r="H234" s="26"/>
      <c r="I234" s="26"/>
      <c r="J234" s="26"/>
      <c r="K234" s="26"/>
      <c r="L234" s="26"/>
      <c r="M234" s="26"/>
      <c r="N234" s="26"/>
      <c r="O234" s="26"/>
      <c r="P234" s="26"/>
      <c r="Q234" s="26"/>
      <c r="R234" s="26"/>
    </row>
    <row r="235" spans="2:18" x14ac:dyDescent="0.3">
      <c r="B235" s="25"/>
      <c r="C235" s="25"/>
      <c r="D235" s="63"/>
      <c r="E235" s="26"/>
      <c r="F235" s="26"/>
      <c r="G235" s="26"/>
      <c r="H235" s="26"/>
      <c r="I235" s="26"/>
      <c r="J235" s="26"/>
      <c r="K235" s="26"/>
      <c r="L235" s="26"/>
      <c r="M235" s="26"/>
      <c r="N235" s="26"/>
      <c r="O235" s="26"/>
      <c r="P235" s="26"/>
      <c r="Q235" s="26"/>
      <c r="R235" s="26"/>
    </row>
    <row r="236" spans="2:18" x14ac:dyDescent="0.3">
      <c r="B236" s="25"/>
      <c r="C236" s="25"/>
      <c r="D236" s="63"/>
      <c r="E236" s="26"/>
      <c r="F236" s="26"/>
      <c r="G236" s="26"/>
      <c r="H236" s="26"/>
      <c r="I236" s="26"/>
      <c r="J236" s="26"/>
      <c r="K236" s="26"/>
      <c r="L236" s="26"/>
      <c r="M236" s="26"/>
      <c r="N236" s="26"/>
      <c r="O236" s="26"/>
      <c r="P236" s="26"/>
      <c r="Q236" s="26"/>
      <c r="R236" s="26"/>
    </row>
    <row r="237" spans="2:18" x14ac:dyDescent="0.3">
      <c r="B237" s="25"/>
      <c r="C237" s="25"/>
      <c r="D237" s="63"/>
      <c r="E237" s="26"/>
      <c r="F237" s="26"/>
      <c r="G237" s="26"/>
      <c r="H237" s="26"/>
      <c r="I237" s="26"/>
      <c r="J237" s="26"/>
      <c r="K237" s="26"/>
      <c r="L237" s="26"/>
      <c r="M237" s="26"/>
      <c r="N237" s="26"/>
      <c r="O237" s="26"/>
      <c r="P237" s="26"/>
      <c r="Q237" s="26"/>
      <c r="R237" s="26"/>
    </row>
    <row r="238" spans="2:18" x14ac:dyDescent="0.3">
      <c r="B238" s="25"/>
      <c r="C238" s="25"/>
      <c r="D238" s="63"/>
      <c r="E238" s="26"/>
      <c r="F238" s="26"/>
      <c r="G238" s="26"/>
      <c r="H238" s="26"/>
      <c r="I238" s="26"/>
      <c r="J238" s="26"/>
      <c r="K238" s="26"/>
      <c r="L238" s="26"/>
      <c r="M238" s="26"/>
      <c r="N238" s="26"/>
      <c r="O238" s="26"/>
      <c r="P238" s="26"/>
      <c r="Q238" s="26"/>
      <c r="R238" s="26"/>
    </row>
    <row r="239" spans="2:18" x14ac:dyDescent="0.3">
      <c r="B239" s="25"/>
      <c r="C239" s="25"/>
      <c r="D239" s="63"/>
      <c r="E239" s="26"/>
      <c r="F239" s="26"/>
      <c r="G239" s="26"/>
      <c r="H239" s="26"/>
      <c r="I239" s="26"/>
      <c r="J239" s="26"/>
      <c r="K239" s="26"/>
      <c r="L239" s="26"/>
      <c r="M239" s="26"/>
      <c r="N239" s="26"/>
      <c r="O239" s="26"/>
      <c r="P239" s="26"/>
      <c r="Q239" s="26"/>
      <c r="R239" s="26"/>
    </row>
    <row r="240" spans="2:18" x14ac:dyDescent="0.3">
      <c r="B240" s="25"/>
      <c r="C240" s="25"/>
      <c r="D240" s="63"/>
      <c r="E240" s="26"/>
      <c r="F240" s="26"/>
      <c r="G240" s="26"/>
      <c r="H240" s="26"/>
      <c r="I240" s="26"/>
      <c r="J240" s="26"/>
      <c r="K240" s="26"/>
      <c r="L240" s="26"/>
      <c r="M240" s="26"/>
      <c r="N240" s="26"/>
      <c r="O240" s="26"/>
      <c r="P240" s="26"/>
      <c r="Q240" s="26"/>
      <c r="R240" s="26"/>
    </row>
    <row r="241" spans="2:18" x14ac:dyDescent="0.3">
      <c r="B241" s="25"/>
      <c r="C241" s="25"/>
      <c r="D241" s="63"/>
      <c r="E241" s="26"/>
      <c r="F241" s="26"/>
      <c r="G241" s="26"/>
      <c r="H241" s="26"/>
      <c r="I241" s="26"/>
      <c r="J241" s="26"/>
      <c r="K241" s="26"/>
      <c r="L241" s="26"/>
      <c r="M241" s="26"/>
      <c r="N241" s="26"/>
      <c r="O241" s="26"/>
      <c r="P241" s="26"/>
      <c r="Q241" s="26"/>
      <c r="R241" s="26"/>
    </row>
    <row r="242" spans="2:18" x14ac:dyDescent="0.3">
      <c r="B242" s="25"/>
      <c r="C242" s="25"/>
      <c r="D242" s="63"/>
      <c r="E242" s="26"/>
      <c r="F242" s="26"/>
      <c r="G242" s="26"/>
      <c r="H242" s="26"/>
      <c r="I242" s="26"/>
      <c r="J242" s="26"/>
      <c r="K242" s="26"/>
      <c r="L242" s="26"/>
      <c r="M242" s="26"/>
      <c r="N242" s="26"/>
      <c r="O242" s="26"/>
      <c r="P242" s="26"/>
      <c r="Q242" s="26"/>
      <c r="R242" s="26"/>
    </row>
    <row r="243" spans="2:18" x14ac:dyDescent="0.3">
      <c r="B243" s="25"/>
      <c r="C243" s="25"/>
      <c r="D243" s="63"/>
      <c r="E243" s="26"/>
      <c r="F243" s="26"/>
      <c r="G243" s="26"/>
      <c r="H243" s="26"/>
      <c r="I243" s="26"/>
      <c r="J243" s="26"/>
      <c r="K243" s="26"/>
      <c r="L243" s="26"/>
      <c r="M243" s="26"/>
      <c r="N243" s="26"/>
      <c r="O243" s="26"/>
      <c r="P243" s="26"/>
      <c r="Q243" s="26"/>
      <c r="R243" s="26"/>
    </row>
    <row r="244" spans="2:18" x14ac:dyDescent="0.3">
      <c r="B244" s="25"/>
      <c r="C244" s="25"/>
      <c r="D244" s="63"/>
      <c r="E244" s="26"/>
      <c r="F244" s="26"/>
      <c r="G244" s="26"/>
      <c r="H244" s="26"/>
      <c r="I244" s="26"/>
      <c r="J244" s="26"/>
      <c r="K244" s="26"/>
      <c r="L244" s="26"/>
      <c r="M244" s="26"/>
      <c r="N244" s="26"/>
      <c r="O244" s="26"/>
      <c r="P244" s="26"/>
      <c r="Q244" s="26"/>
      <c r="R244" s="26"/>
    </row>
    <row r="245" spans="2:18" x14ac:dyDescent="0.3">
      <c r="B245" s="25"/>
      <c r="C245" s="25"/>
      <c r="D245" s="63"/>
      <c r="E245" s="26"/>
      <c r="F245" s="26"/>
      <c r="G245" s="26"/>
      <c r="H245" s="26"/>
      <c r="I245" s="26"/>
      <c r="J245" s="26"/>
      <c r="K245" s="26"/>
      <c r="L245" s="26"/>
      <c r="M245" s="26"/>
      <c r="N245" s="26"/>
      <c r="O245" s="26"/>
      <c r="P245" s="26"/>
      <c r="Q245" s="26"/>
      <c r="R245" s="26"/>
    </row>
    <row r="246" spans="2:18" x14ac:dyDescent="0.3">
      <c r="B246" s="25"/>
      <c r="C246" s="25"/>
      <c r="D246" s="63"/>
      <c r="E246" s="26"/>
      <c r="F246" s="26"/>
      <c r="G246" s="26"/>
      <c r="H246" s="26"/>
      <c r="I246" s="26"/>
      <c r="J246" s="26"/>
      <c r="K246" s="26"/>
      <c r="L246" s="26"/>
      <c r="M246" s="26"/>
      <c r="N246" s="26"/>
      <c r="O246" s="26"/>
      <c r="P246" s="26"/>
      <c r="Q246" s="26"/>
      <c r="R246" s="26"/>
    </row>
    <row r="247" spans="2:18" x14ac:dyDescent="0.3">
      <c r="B247" s="25"/>
      <c r="C247" s="25"/>
      <c r="D247" s="63"/>
      <c r="E247" s="26"/>
      <c r="F247" s="26"/>
      <c r="G247" s="26"/>
      <c r="H247" s="26"/>
      <c r="I247" s="26"/>
      <c r="J247" s="26"/>
      <c r="K247" s="26"/>
      <c r="L247" s="26"/>
      <c r="M247" s="26"/>
      <c r="N247" s="26"/>
      <c r="O247" s="26"/>
      <c r="P247" s="26"/>
      <c r="Q247" s="26"/>
      <c r="R247" s="26"/>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2" bestFit="1" customWidth="1"/>
    <col min="2" max="2" width="13.81640625" style="23" bestFit="1" customWidth="1"/>
    <col min="3" max="3" width="14.7265625" style="23" bestFit="1" customWidth="1"/>
    <col min="4" max="4" width="17.453125" style="23" bestFit="1" customWidth="1"/>
    <col min="5" max="5" width="15.453125" style="23" bestFit="1" customWidth="1"/>
    <col min="6" max="6" width="16.26953125" style="22" hidden="1" customWidth="1"/>
    <col min="7" max="7" width="3.54296875" style="22" hidden="1" customWidth="1"/>
    <col min="8" max="8" width="2.26953125" style="22" hidden="1" customWidth="1"/>
    <col min="9" max="9" width="3.54296875" style="115" customWidth="1"/>
    <col min="10" max="10" width="2.453125" style="115" customWidth="1"/>
    <col min="11" max="11" width="9.1796875" style="22" customWidth="1"/>
    <col min="12" max="16384" width="9.1796875" style="22"/>
  </cols>
  <sheetData>
    <row r="3" spans="1:18" ht="18.5" x14ac:dyDescent="0.45">
      <c r="A3" s="282" t="str">
        <f>DEBT_LAST_5_YEARS</f>
        <v>Державний та гарантований державою борг України за останні 5 років</v>
      </c>
      <c r="B3" s="282"/>
      <c r="C3" s="282"/>
      <c r="D3" s="282"/>
      <c r="E3" s="282"/>
      <c r="F3" s="30"/>
      <c r="G3" s="30"/>
      <c r="H3" s="30"/>
    </row>
    <row r="4" spans="1:18" ht="18.5" x14ac:dyDescent="0.45">
      <c r="A4" s="282" t="str">
        <f>BY_AVERAGE_TERM</f>
        <v>(в розрізі середнього терміну обігу та середньої ставки)</v>
      </c>
      <c r="B4" s="282"/>
      <c r="C4" s="282"/>
      <c r="D4" s="282"/>
      <c r="E4" s="282"/>
      <c r="F4" s="30"/>
      <c r="G4" s="30"/>
      <c r="H4" s="30"/>
    </row>
    <row r="5" spans="1:18" ht="18.5" x14ac:dyDescent="0.45">
      <c r="A5" s="2"/>
      <c r="B5" s="2"/>
      <c r="C5" s="2"/>
      <c r="D5" s="2"/>
      <c r="E5" s="2"/>
      <c r="F5" s="30"/>
      <c r="G5" s="30"/>
      <c r="H5" s="30"/>
    </row>
    <row r="6" spans="1:18" x14ac:dyDescent="0.3">
      <c r="B6" s="25"/>
      <c r="C6" s="25"/>
      <c r="D6" s="25"/>
      <c r="E6" s="25"/>
      <c r="F6" s="26"/>
      <c r="G6" s="26"/>
      <c r="H6" s="26"/>
      <c r="I6" s="116"/>
      <c r="J6" s="116"/>
      <c r="K6" s="26"/>
      <c r="L6" s="26"/>
      <c r="M6" s="26"/>
      <c r="N6" s="26"/>
      <c r="O6" s="26"/>
      <c r="P6" s="26"/>
      <c r="Q6" s="26"/>
      <c r="R6" s="26"/>
    </row>
    <row r="7" spans="1:18" s="27" customFormat="1" x14ac:dyDescent="0.3">
      <c r="B7" s="28"/>
      <c r="C7" s="28"/>
      <c r="D7" s="28"/>
      <c r="E7" s="28"/>
      <c r="I7" s="117"/>
      <c r="J7" s="117"/>
    </row>
    <row r="8" spans="1:18" s="38" customFormat="1" ht="35.25" customHeight="1" x14ac:dyDescent="0.25">
      <c r="A8" s="157" t="s">
        <v>3</v>
      </c>
      <c r="B8" s="157" t="str">
        <f>AVERAGE_RATE</f>
        <v>Середня ставка,
%</v>
      </c>
      <c r="C8" s="157" t="str">
        <f>AVERAGE_CIRCULATION</f>
        <v>Середній термін обігу, років.</v>
      </c>
      <c r="D8" s="157" t="str">
        <f>AVERAGE_TO_REPAYMENT</f>
        <v>Середній термін до погашення, років.</v>
      </c>
      <c r="E8" s="157" t="str">
        <f>AMOUNT_OF_DEBT &amp;" "&amp; VALVAL</f>
        <v>Сума боргу млрд. одиниць</v>
      </c>
      <c r="F8" s="158" t="s">
        <v>4</v>
      </c>
      <c r="G8" s="158" t="s">
        <v>5</v>
      </c>
      <c r="H8" s="158" t="s">
        <v>6</v>
      </c>
      <c r="I8" s="159"/>
      <c r="J8" s="159"/>
    </row>
    <row r="9" spans="1:18" s="38" customFormat="1" ht="15.5" x14ac:dyDescent="0.3">
      <c r="A9" s="271" t="s">
        <v>7</v>
      </c>
      <c r="B9" s="272">
        <v>4.8920000000000003</v>
      </c>
      <c r="C9" s="272">
        <v>12.91</v>
      </c>
      <c r="D9" s="272">
        <v>11.85</v>
      </c>
      <c r="E9" s="272">
        <v>6878541652.6300001</v>
      </c>
      <c r="F9" s="273">
        <v>0</v>
      </c>
      <c r="G9" s="273">
        <v>0</v>
      </c>
      <c r="H9" s="273">
        <v>3</v>
      </c>
      <c r="I9" s="116" t="str">
        <f t="shared" ref="I9:I28" si="0">IF(A9="","",A9 &amp; "; " &amp;B9 &amp; "%; "&amp;C9 &amp;"р.")</f>
        <v>Державний та гарантований державою борг України; 4,892%; 12,91р.</v>
      </c>
      <c r="J9" s="118">
        <f>E9</f>
        <v>6878541652.6300001</v>
      </c>
    </row>
    <row r="10" spans="1:18" ht="15.5" x14ac:dyDescent="0.35">
      <c r="A10" s="274" t="s">
        <v>8</v>
      </c>
      <c r="B10" s="275">
        <v>4.8600000000000003</v>
      </c>
      <c r="C10" s="275">
        <v>13.05</v>
      </c>
      <c r="D10" s="275">
        <v>12.16</v>
      </c>
      <c r="E10" s="275">
        <v>6597885323.5900002</v>
      </c>
      <c r="F10" s="276">
        <v>0</v>
      </c>
      <c r="G10" s="276">
        <v>0</v>
      </c>
      <c r="H10" s="276">
        <v>2</v>
      </c>
      <c r="I10" s="116" t="str">
        <f t="shared" si="0"/>
        <v xml:space="preserve">    Державний борг; 4,86%; 13,05р.</v>
      </c>
      <c r="J10" s="118">
        <f t="shared" ref="J10:J61" si="1">E10</f>
        <v>6597885323.5900002</v>
      </c>
      <c r="K10" s="26"/>
      <c r="L10" s="26"/>
      <c r="M10" s="26"/>
      <c r="N10" s="26"/>
      <c r="O10" s="26"/>
      <c r="P10" s="26"/>
      <c r="Q10" s="26"/>
      <c r="R10" s="26"/>
    </row>
    <row r="11" spans="1:18" ht="15.5" x14ac:dyDescent="0.35">
      <c r="A11" s="234" t="s">
        <v>9</v>
      </c>
      <c r="B11" s="235">
        <v>13.031000000000001</v>
      </c>
      <c r="C11" s="235">
        <v>6.54</v>
      </c>
      <c r="D11" s="235">
        <v>6.23</v>
      </c>
      <c r="E11" s="235">
        <v>1840063331.3599999</v>
      </c>
      <c r="F11" s="233">
        <v>1</v>
      </c>
      <c r="G11" s="233">
        <v>0</v>
      </c>
      <c r="H11" s="233">
        <v>0</v>
      </c>
      <c r="I11" s="116" t="str">
        <f t="shared" si="0"/>
        <v xml:space="preserve">      Державний внутрішній борг; 13,031%; 6,54р.</v>
      </c>
      <c r="J11" s="118">
        <f t="shared" si="1"/>
        <v>1840063331.3599999</v>
      </c>
      <c r="K11" s="26"/>
      <c r="L11" s="26"/>
      <c r="M11" s="26"/>
      <c r="N11" s="26"/>
      <c r="O11" s="26"/>
      <c r="P11" s="26"/>
      <c r="Q11" s="26"/>
      <c r="R11" s="26"/>
    </row>
    <row r="12" spans="1:18" ht="15.5" x14ac:dyDescent="0.35">
      <c r="A12" s="231" t="s">
        <v>10</v>
      </c>
      <c r="B12" s="232">
        <v>13.037000000000001</v>
      </c>
      <c r="C12" s="232">
        <v>6.52</v>
      </c>
      <c r="D12" s="232">
        <v>6.23</v>
      </c>
      <c r="E12" s="232">
        <v>1838608553.6099999</v>
      </c>
      <c r="F12" s="233">
        <v>0</v>
      </c>
      <c r="G12" s="233">
        <v>0</v>
      </c>
      <c r="H12" s="233">
        <v>0</v>
      </c>
      <c r="I12" s="116" t="str">
        <f t="shared" si="0"/>
        <v xml:space="preserve">         в т.ч. ОВДП; 13,037%; 6,52р.</v>
      </c>
      <c r="J12" s="118">
        <f t="shared" si="1"/>
        <v>1838608553.6099999</v>
      </c>
      <c r="K12" s="26"/>
      <c r="L12" s="26"/>
      <c r="M12" s="26"/>
      <c r="N12" s="26"/>
      <c r="O12" s="26"/>
      <c r="P12" s="26"/>
      <c r="Q12" s="26"/>
      <c r="R12" s="26"/>
    </row>
    <row r="13" spans="1:18" ht="15.5" x14ac:dyDescent="0.35">
      <c r="A13" s="231" t="s">
        <v>11</v>
      </c>
      <c r="B13" s="232">
        <v>9.1880000000000006</v>
      </c>
      <c r="C13" s="232">
        <v>7.38</v>
      </c>
      <c r="D13" s="232">
        <v>2.98</v>
      </c>
      <c r="E13" s="232">
        <v>58630439</v>
      </c>
      <c r="F13" s="233">
        <v>0</v>
      </c>
      <c r="G13" s="233">
        <v>1</v>
      </c>
      <c r="H13" s="233">
        <v>0</v>
      </c>
      <c r="I13" s="116" t="str">
        <f t="shared" si="0"/>
        <v xml:space="preserve">            ОВДП (10 - річні); 9,188%; 7,38р.</v>
      </c>
      <c r="J13" s="118">
        <f t="shared" si="1"/>
        <v>58630439</v>
      </c>
      <c r="K13" s="26"/>
      <c r="L13" s="26"/>
      <c r="M13" s="26"/>
      <c r="N13" s="26"/>
      <c r="O13" s="26"/>
      <c r="P13" s="26"/>
      <c r="Q13" s="26"/>
      <c r="R13" s="26"/>
    </row>
    <row r="14" spans="1:18" ht="15.5" x14ac:dyDescent="0.35">
      <c r="A14" s="231" t="s">
        <v>12</v>
      </c>
      <c r="B14" s="232">
        <v>11.252000000000001</v>
      </c>
      <c r="C14" s="232">
        <v>11</v>
      </c>
      <c r="D14" s="232">
        <v>1.88</v>
      </c>
      <c r="E14" s="232">
        <v>17533000</v>
      </c>
      <c r="F14" s="233">
        <v>0</v>
      </c>
      <c r="G14" s="233">
        <v>1</v>
      </c>
      <c r="H14" s="233">
        <v>0</v>
      </c>
      <c r="I14" s="116" t="str">
        <f t="shared" si="0"/>
        <v xml:space="preserve">            ОВДП (11 - річні); 11,252%; 11р.</v>
      </c>
      <c r="J14" s="118">
        <f t="shared" si="1"/>
        <v>17533000</v>
      </c>
      <c r="K14" s="26"/>
      <c r="L14" s="26"/>
      <c r="M14" s="26"/>
      <c r="N14" s="26"/>
      <c r="O14" s="26"/>
      <c r="P14" s="26"/>
      <c r="Q14" s="26"/>
      <c r="R14" s="26"/>
    </row>
    <row r="15" spans="1:18" ht="15.5" x14ac:dyDescent="0.35">
      <c r="A15" s="231" t="s">
        <v>13</v>
      </c>
      <c r="B15" s="232">
        <v>3.24</v>
      </c>
      <c r="C15" s="232">
        <v>0.89</v>
      </c>
      <c r="D15" s="232">
        <v>0.52</v>
      </c>
      <c r="E15" s="232">
        <v>3787059.99</v>
      </c>
      <c r="F15" s="233">
        <v>0</v>
      </c>
      <c r="G15" s="233">
        <v>1</v>
      </c>
      <c r="H15" s="233">
        <v>0</v>
      </c>
      <c r="I15" s="116" t="str">
        <f t="shared" si="0"/>
        <v xml:space="preserve">            ОВДП (12 - місячні); 3,24%; 0,89р.</v>
      </c>
      <c r="J15" s="118">
        <f t="shared" si="1"/>
        <v>3787059.99</v>
      </c>
      <c r="K15" s="26"/>
      <c r="L15" s="26"/>
      <c r="M15" s="26"/>
      <c r="N15" s="26"/>
      <c r="O15" s="26"/>
      <c r="P15" s="26"/>
      <c r="Q15" s="26"/>
      <c r="R15" s="26"/>
    </row>
    <row r="16" spans="1:18" ht="15.5" x14ac:dyDescent="0.35">
      <c r="A16" s="231" t="s">
        <v>14</v>
      </c>
      <c r="B16" s="232">
        <v>9.9979999999999993</v>
      </c>
      <c r="C16" s="232">
        <v>12.04</v>
      </c>
      <c r="D16" s="232">
        <v>5.51</v>
      </c>
      <c r="E16" s="232">
        <v>50000000</v>
      </c>
      <c r="F16" s="233">
        <v>0</v>
      </c>
      <c r="G16" s="233">
        <v>1</v>
      </c>
      <c r="H16" s="233">
        <v>0</v>
      </c>
      <c r="I16" s="116" t="str">
        <f t="shared" si="0"/>
        <v xml:space="preserve">            ОВДП (12 - річні); 9,998%; 12,04р.</v>
      </c>
      <c r="J16" s="118">
        <f t="shared" si="1"/>
        <v>50000000</v>
      </c>
      <c r="K16" s="26"/>
      <c r="L16" s="26"/>
      <c r="M16" s="26"/>
      <c r="N16" s="26"/>
      <c r="O16" s="26"/>
      <c r="P16" s="26"/>
      <c r="Q16" s="26"/>
      <c r="R16" s="26"/>
    </row>
    <row r="17" spans="1:18" ht="15.5" x14ac:dyDescent="0.35">
      <c r="A17" s="231" t="s">
        <v>15</v>
      </c>
      <c r="B17" s="232">
        <v>8.4809999999999999</v>
      </c>
      <c r="C17" s="232">
        <v>13.15</v>
      </c>
      <c r="D17" s="232">
        <v>5.86</v>
      </c>
      <c r="E17" s="232">
        <v>33700001</v>
      </c>
      <c r="F17" s="233">
        <v>0</v>
      </c>
      <c r="G17" s="233">
        <v>1</v>
      </c>
      <c r="H17" s="233">
        <v>0</v>
      </c>
      <c r="I17" s="116" t="str">
        <f t="shared" si="0"/>
        <v xml:space="preserve">            ОВДП (13 - річні); 8,481%; 13,15р.</v>
      </c>
      <c r="J17" s="118">
        <f t="shared" si="1"/>
        <v>33700001</v>
      </c>
      <c r="K17" s="26"/>
      <c r="L17" s="26"/>
      <c r="M17" s="26"/>
      <c r="N17" s="26"/>
      <c r="O17" s="26"/>
      <c r="P17" s="26"/>
      <c r="Q17" s="26"/>
      <c r="R17" s="26"/>
    </row>
    <row r="18" spans="1:18" ht="15.5" x14ac:dyDescent="0.35">
      <c r="A18" s="231" t="s">
        <v>16</v>
      </c>
      <c r="B18" s="232">
        <v>7.4379999999999997</v>
      </c>
      <c r="C18" s="232">
        <v>14.04</v>
      </c>
      <c r="D18" s="232">
        <v>5.93</v>
      </c>
      <c r="E18" s="232">
        <v>46900000</v>
      </c>
      <c r="F18" s="233">
        <v>0</v>
      </c>
      <c r="G18" s="233">
        <v>1</v>
      </c>
      <c r="H18" s="233">
        <v>0</v>
      </c>
      <c r="I18" s="116" t="str">
        <f t="shared" si="0"/>
        <v xml:space="preserve">            ОВДП (14 - річні); 7,438%; 14,04р.</v>
      </c>
      <c r="J18" s="118">
        <f t="shared" si="1"/>
        <v>46900000</v>
      </c>
      <c r="K18" s="26"/>
      <c r="L18" s="26"/>
      <c r="M18" s="26"/>
      <c r="N18" s="26"/>
      <c r="O18" s="26"/>
      <c r="P18" s="26"/>
      <c r="Q18" s="26"/>
      <c r="R18" s="26"/>
    </row>
    <row r="19" spans="1:18" ht="15.5" x14ac:dyDescent="0.35">
      <c r="A19" s="231" t="s">
        <v>17</v>
      </c>
      <c r="B19" s="232">
        <v>10.048999999999999</v>
      </c>
      <c r="C19" s="232">
        <v>14.69</v>
      </c>
      <c r="D19" s="232">
        <v>10.16</v>
      </c>
      <c r="E19" s="232">
        <v>225503117</v>
      </c>
      <c r="F19" s="233">
        <v>0</v>
      </c>
      <c r="G19" s="233">
        <v>1</v>
      </c>
      <c r="H19" s="233">
        <v>0</v>
      </c>
      <c r="I19" s="116" t="str">
        <f t="shared" si="0"/>
        <v xml:space="preserve">            ОВДП (15 - річні); 10,049%; 14,69р.</v>
      </c>
      <c r="J19" s="118">
        <f t="shared" si="1"/>
        <v>225503117</v>
      </c>
      <c r="K19" s="26"/>
      <c r="L19" s="26"/>
      <c r="M19" s="26"/>
      <c r="N19" s="26"/>
      <c r="O19" s="26"/>
      <c r="P19" s="26"/>
      <c r="Q19" s="26"/>
      <c r="R19" s="26"/>
    </row>
    <row r="20" spans="1:18" ht="15.5" x14ac:dyDescent="0.35">
      <c r="A20" s="231" t="s">
        <v>18</v>
      </c>
      <c r="B20" s="232">
        <v>8.5749999999999993</v>
      </c>
      <c r="C20" s="232">
        <v>15.85</v>
      </c>
      <c r="D20" s="232">
        <v>8.4499999999999993</v>
      </c>
      <c r="E20" s="232">
        <v>12097744</v>
      </c>
      <c r="F20" s="233">
        <v>0</v>
      </c>
      <c r="G20" s="233">
        <v>1</v>
      </c>
      <c r="H20" s="233">
        <v>0</v>
      </c>
      <c r="I20" s="116" t="str">
        <f t="shared" si="0"/>
        <v xml:space="preserve">            ОВДП (16 - річні); 8,575%; 15,85р.</v>
      </c>
      <c r="J20" s="118">
        <f t="shared" si="1"/>
        <v>12097744</v>
      </c>
      <c r="K20" s="26"/>
      <c r="L20" s="26"/>
      <c r="M20" s="26"/>
      <c r="N20" s="26"/>
      <c r="O20" s="26"/>
      <c r="P20" s="26"/>
      <c r="Q20" s="26"/>
      <c r="R20" s="26"/>
    </row>
    <row r="21" spans="1:18" ht="15.5" x14ac:dyDescent="0.35">
      <c r="A21" s="231" t="s">
        <v>19</v>
      </c>
      <c r="B21" s="232">
        <v>11.241</v>
      </c>
      <c r="C21" s="232">
        <v>16.899999999999999</v>
      </c>
      <c r="D21" s="232">
        <v>12.37</v>
      </c>
      <c r="E21" s="232">
        <v>27097744</v>
      </c>
      <c r="F21" s="233">
        <v>0</v>
      </c>
      <c r="G21" s="233">
        <v>1</v>
      </c>
      <c r="H21" s="233">
        <v>0</v>
      </c>
      <c r="I21" s="116" t="str">
        <f t="shared" si="0"/>
        <v xml:space="preserve">            ОВДП (17 - річні); 11,241%; 16,9р.</v>
      </c>
      <c r="J21" s="118">
        <f t="shared" si="1"/>
        <v>27097744</v>
      </c>
      <c r="K21" s="26"/>
      <c r="L21" s="26"/>
      <c r="M21" s="26"/>
      <c r="N21" s="26"/>
      <c r="O21" s="26"/>
      <c r="P21" s="26"/>
      <c r="Q21" s="26"/>
      <c r="R21" s="26"/>
    </row>
    <row r="22" spans="1:18" ht="15.5" x14ac:dyDescent="0.35">
      <c r="A22" s="234" t="s">
        <v>20</v>
      </c>
      <c r="B22" s="235">
        <v>9.75</v>
      </c>
      <c r="C22" s="235">
        <v>1.1499999999999999</v>
      </c>
      <c r="D22" s="235">
        <v>0.5</v>
      </c>
      <c r="E22" s="235">
        <v>283670310.63</v>
      </c>
      <c r="F22" s="233">
        <v>0</v>
      </c>
      <c r="G22" s="233">
        <v>1</v>
      </c>
      <c r="H22" s="233">
        <v>0</v>
      </c>
      <c r="I22" s="116" t="str">
        <f t="shared" si="0"/>
        <v xml:space="preserve">            ОВДП (18 - місячні); 9,75%; 1,15р.</v>
      </c>
      <c r="J22" s="118">
        <f t="shared" si="1"/>
        <v>283670310.63</v>
      </c>
      <c r="K22" s="26"/>
      <c r="L22" s="26"/>
      <c r="M22" s="26"/>
      <c r="N22" s="26"/>
      <c r="O22" s="26"/>
      <c r="P22" s="26"/>
      <c r="Q22" s="26"/>
      <c r="R22" s="26"/>
    </row>
    <row r="23" spans="1:18" ht="15.5" x14ac:dyDescent="0.35">
      <c r="A23" s="231" t="s">
        <v>21</v>
      </c>
      <c r="B23" s="232">
        <v>8.17</v>
      </c>
      <c r="C23" s="232">
        <v>17.850000000000001</v>
      </c>
      <c r="D23" s="232">
        <v>10.45</v>
      </c>
      <c r="E23" s="232">
        <v>12097744</v>
      </c>
      <c r="F23" s="233">
        <v>0</v>
      </c>
      <c r="G23" s="233">
        <v>1</v>
      </c>
      <c r="H23" s="233">
        <v>0</v>
      </c>
      <c r="I23" s="116" t="str">
        <f t="shared" si="0"/>
        <v xml:space="preserve">            ОВДП (18 - річні); 8,17%; 17,85р.</v>
      </c>
      <c r="J23" s="118">
        <f t="shared" si="1"/>
        <v>12097744</v>
      </c>
      <c r="K23" s="26"/>
      <c r="L23" s="26"/>
      <c r="M23" s="26"/>
      <c r="N23" s="26"/>
      <c r="O23" s="26"/>
      <c r="P23" s="26"/>
      <c r="Q23" s="26"/>
      <c r="R23" s="26"/>
    </row>
    <row r="24" spans="1:18" ht="15.5" x14ac:dyDescent="0.35">
      <c r="A24" s="231" t="s">
        <v>22</v>
      </c>
      <c r="B24" s="232">
        <v>10.8</v>
      </c>
      <c r="C24" s="232">
        <v>18.850000000000001</v>
      </c>
      <c r="D24" s="232">
        <v>11.45</v>
      </c>
      <c r="E24" s="232">
        <v>12097744</v>
      </c>
      <c r="F24" s="233">
        <v>0</v>
      </c>
      <c r="G24" s="233">
        <v>1</v>
      </c>
      <c r="H24" s="233">
        <v>0</v>
      </c>
      <c r="I24" s="116" t="str">
        <f t="shared" si="0"/>
        <v xml:space="preserve">            ОВДП (19 - річні); 10,8%; 18,85р.</v>
      </c>
      <c r="J24" s="118">
        <f t="shared" si="1"/>
        <v>12097744</v>
      </c>
      <c r="K24" s="26"/>
      <c r="L24" s="26"/>
      <c r="M24" s="26"/>
      <c r="N24" s="26"/>
      <c r="O24" s="26"/>
      <c r="P24" s="26"/>
      <c r="Q24" s="26"/>
      <c r="R24" s="26"/>
    </row>
    <row r="25" spans="1:18" ht="15.5" x14ac:dyDescent="0.35">
      <c r="A25" s="234" t="s">
        <v>23</v>
      </c>
      <c r="B25" s="235">
        <v>17.565000000000001</v>
      </c>
      <c r="C25" s="235">
        <v>1.78</v>
      </c>
      <c r="D25" s="235">
        <v>0.91</v>
      </c>
      <c r="E25" s="235">
        <v>274774648</v>
      </c>
      <c r="F25" s="233">
        <v>0</v>
      </c>
      <c r="G25" s="233">
        <v>1</v>
      </c>
      <c r="H25" s="233">
        <v>0</v>
      </c>
      <c r="I25" s="116" t="str">
        <f t="shared" si="0"/>
        <v xml:space="preserve">            ОВДП (2 - річні); 17,565%; 1,78р.</v>
      </c>
      <c r="J25" s="118">
        <f t="shared" si="1"/>
        <v>274774648</v>
      </c>
      <c r="K25" s="26"/>
      <c r="L25" s="26"/>
      <c r="M25" s="26"/>
      <c r="N25" s="26"/>
      <c r="O25" s="26"/>
      <c r="P25" s="26"/>
      <c r="Q25" s="26"/>
      <c r="R25" s="26"/>
    </row>
    <row r="26" spans="1:18" ht="15.5" x14ac:dyDescent="0.35">
      <c r="A26" s="234" t="s">
        <v>24</v>
      </c>
      <c r="B26" s="235">
        <v>10.8</v>
      </c>
      <c r="C26" s="235">
        <v>19.850000000000001</v>
      </c>
      <c r="D26" s="235">
        <v>12.45</v>
      </c>
      <c r="E26" s="235">
        <v>12097744</v>
      </c>
      <c r="F26" s="233">
        <v>0</v>
      </c>
      <c r="G26" s="233">
        <v>1</v>
      </c>
      <c r="H26" s="233">
        <v>0</v>
      </c>
      <c r="I26" s="116" t="str">
        <f t="shared" si="0"/>
        <v xml:space="preserve">            ОВДП (20 - річні); 10,8%; 19,85р.</v>
      </c>
      <c r="J26" s="118">
        <f t="shared" si="1"/>
        <v>12097744</v>
      </c>
      <c r="K26" s="26"/>
      <c r="L26" s="26"/>
      <c r="M26" s="26"/>
      <c r="N26" s="26"/>
      <c r="O26" s="26"/>
      <c r="P26" s="26"/>
      <c r="Q26" s="26"/>
      <c r="R26" s="26"/>
    </row>
    <row r="27" spans="1:18" ht="15.5" x14ac:dyDescent="0.35">
      <c r="A27" s="231" t="s">
        <v>25</v>
      </c>
      <c r="B27" s="232">
        <v>10.8</v>
      </c>
      <c r="C27" s="232">
        <v>20.85</v>
      </c>
      <c r="D27" s="232">
        <v>13.45</v>
      </c>
      <c r="E27" s="232">
        <v>12097744</v>
      </c>
      <c r="F27" s="233">
        <v>0</v>
      </c>
      <c r="G27" s="233">
        <v>1</v>
      </c>
      <c r="H27" s="233">
        <v>0</v>
      </c>
      <c r="I27" s="116" t="str">
        <f t="shared" si="0"/>
        <v xml:space="preserve">            ОВДП (21 - річні); 10,8%; 20,85р.</v>
      </c>
      <c r="J27" s="118">
        <f t="shared" si="1"/>
        <v>12097744</v>
      </c>
      <c r="K27" s="26"/>
      <c r="L27" s="26"/>
      <c r="M27" s="26"/>
      <c r="N27" s="26"/>
      <c r="O27" s="26"/>
      <c r="P27" s="26"/>
      <c r="Q27" s="26"/>
      <c r="R27" s="26"/>
    </row>
    <row r="28" spans="1:18" ht="15.5" x14ac:dyDescent="0.35">
      <c r="A28" s="236" t="s">
        <v>26</v>
      </c>
      <c r="B28" s="237">
        <v>10.8</v>
      </c>
      <c r="C28" s="237">
        <v>21.85</v>
      </c>
      <c r="D28" s="237">
        <v>14.45</v>
      </c>
      <c r="E28" s="237">
        <v>12097744</v>
      </c>
      <c r="F28" s="236">
        <v>0</v>
      </c>
      <c r="G28" s="236">
        <v>1</v>
      </c>
      <c r="H28" s="236">
        <v>0</v>
      </c>
      <c r="I28" s="116" t="str">
        <f t="shared" si="0"/>
        <v xml:space="preserve">            ОВДП (22 - річні); 10,8%; 21,85р.</v>
      </c>
      <c r="J28" s="118">
        <f t="shared" si="1"/>
        <v>12097744</v>
      </c>
      <c r="K28" s="26"/>
      <c r="L28" s="26"/>
      <c r="M28" s="26"/>
      <c r="N28" s="26"/>
      <c r="O28" s="26"/>
      <c r="P28" s="26"/>
      <c r="Q28" s="26"/>
      <c r="R28" s="26"/>
    </row>
    <row r="29" spans="1:18" ht="15.5" x14ac:dyDescent="0.35">
      <c r="A29" s="236" t="s">
        <v>27</v>
      </c>
      <c r="B29" s="237">
        <v>10.8</v>
      </c>
      <c r="C29" s="237">
        <v>22.85</v>
      </c>
      <c r="D29" s="237">
        <v>15.45</v>
      </c>
      <c r="E29" s="237">
        <v>12097744</v>
      </c>
      <c r="F29" s="236">
        <v>0</v>
      </c>
      <c r="G29" s="236">
        <v>1</v>
      </c>
      <c r="H29" s="236">
        <v>0</v>
      </c>
      <c r="I29" s="116" t="str">
        <f t="shared" ref="I29:I53" si="2">IF(A29="","",A29 &amp; "; " &amp;B29 &amp; "%; "&amp;C29 &amp;"р.")</f>
        <v xml:space="preserve">            ОВДП (23 - річні); 10,8%; 22,85р.</v>
      </c>
      <c r="J29" s="118">
        <f t="shared" si="1"/>
        <v>12097744</v>
      </c>
      <c r="K29" s="26"/>
      <c r="L29" s="26"/>
      <c r="M29" s="26"/>
      <c r="N29" s="26"/>
      <c r="O29" s="26"/>
      <c r="P29" s="26"/>
      <c r="Q29" s="26"/>
      <c r="R29" s="26"/>
    </row>
    <row r="30" spans="1:18" ht="15.5" x14ac:dyDescent="0.35">
      <c r="A30" s="236" t="s">
        <v>28</v>
      </c>
      <c r="B30" s="237">
        <v>10.8</v>
      </c>
      <c r="C30" s="237">
        <v>23.85</v>
      </c>
      <c r="D30" s="237">
        <v>16.45</v>
      </c>
      <c r="E30" s="237">
        <v>12097744</v>
      </c>
      <c r="F30" s="236">
        <v>0</v>
      </c>
      <c r="G30" s="236">
        <v>1</v>
      </c>
      <c r="H30" s="236">
        <v>0</v>
      </c>
      <c r="I30" s="116" t="str">
        <f t="shared" si="2"/>
        <v xml:space="preserve">            ОВДП (24 - річні); 10,8%; 23,85р.</v>
      </c>
      <c r="J30" s="118">
        <f t="shared" si="1"/>
        <v>12097744</v>
      </c>
      <c r="K30" s="26"/>
      <c r="L30" s="26"/>
      <c r="M30" s="26"/>
      <c r="N30" s="26"/>
      <c r="O30" s="26"/>
      <c r="P30" s="26"/>
      <c r="Q30" s="26"/>
      <c r="R30" s="26"/>
    </row>
    <row r="31" spans="1:18" ht="15.5" x14ac:dyDescent="0.35">
      <c r="A31" s="236" t="s">
        <v>29</v>
      </c>
      <c r="B31" s="237">
        <v>10.8</v>
      </c>
      <c r="C31" s="237">
        <v>24.85</v>
      </c>
      <c r="D31" s="237">
        <v>17.45</v>
      </c>
      <c r="E31" s="237">
        <v>12097744</v>
      </c>
      <c r="F31" s="236">
        <v>0</v>
      </c>
      <c r="G31" s="236">
        <v>1</v>
      </c>
      <c r="H31" s="236">
        <v>0</v>
      </c>
      <c r="I31" s="116" t="str">
        <f t="shared" si="2"/>
        <v xml:space="preserve">            ОВДП (25 - річні); 10,8%; 24,85р.</v>
      </c>
      <c r="J31" s="118">
        <f t="shared" si="1"/>
        <v>12097744</v>
      </c>
      <c r="K31" s="26"/>
      <c r="L31" s="26"/>
      <c r="M31" s="26"/>
      <c r="N31" s="26"/>
      <c r="O31" s="26"/>
      <c r="P31" s="26"/>
      <c r="Q31" s="26"/>
      <c r="R31" s="26"/>
    </row>
    <row r="32" spans="1:18" ht="15.5" x14ac:dyDescent="0.35">
      <c r="A32" s="236" t="s">
        <v>30</v>
      </c>
      <c r="B32" s="237">
        <v>10.8</v>
      </c>
      <c r="C32" s="237">
        <v>25.85</v>
      </c>
      <c r="D32" s="237">
        <v>18.45</v>
      </c>
      <c r="E32" s="237">
        <v>12097744</v>
      </c>
      <c r="F32" s="236">
        <v>0</v>
      </c>
      <c r="G32" s="236">
        <v>1</v>
      </c>
      <c r="H32" s="236">
        <v>0</v>
      </c>
      <c r="I32" s="116" t="str">
        <f t="shared" si="2"/>
        <v xml:space="preserve">            ОВДП (26 - річні); 10,8%; 25,85р.</v>
      </c>
      <c r="J32" s="118">
        <f t="shared" si="1"/>
        <v>12097744</v>
      </c>
      <c r="K32" s="26"/>
      <c r="L32" s="26"/>
      <c r="M32" s="26"/>
      <c r="N32" s="26"/>
      <c r="O32" s="26"/>
      <c r="P32" s="26"/>
      <c r="Q32" s="26"/>
      <c r="R32" s="26"/>
    </row>
    <row r="33" spans="1:18" ht="15.5" x14ac:dyDescent="0.35">
      <c r="A33" s="236" t="s">
        <v>31</v>
      </c>
      <c r="B33" s="237">
        <v>10.8</v>
      </c>
      <c r="C33" s="237">
        <v>26.85</v>
      </c>
      <c r="D33" s="237">
        <v>19.45</v>
      </c>
      <c r="E33" s="237">
        <v>12097744</v>
      </c>
      <c r="F33" s="236">
        <v>0</v>
      </c>
      <c r="G33" s="236">
        <v>1</v>
      </c>
      <c r="H33" s="236">
        <v>0</v>
      </c>
      <c r="I33" s="116" t="str">
        <f t="shared" si="2"/>
        <v xml:space="preserve">            ОВДП (27 - річні); 10,8%; 26,85р.</v>
      </c>
      <c r="J33" s="118">
        <f t="shared" si="1"/>
        <v>12097744</v>
      </c>
      <c r="K33" s="26"/>
      <c r="L33" s="26"/>
      <c r="M33" s="26"/>
      <c r="N33" s="26"/>
      <c r="O33" s="26"/>
      <c r="P33" s="26"/>
      <c r="Q33" s="26"/>
      <c r="R33" s="26"/>
    </row>
    <row r="34" spans="1:18" ht="15.5" x14ac:dyDescent="0.35">
      <c r="A34" s="236" t="s">
        <v>32</v>
      </c>
      <c r="B34" s="237">
        <v>10.8</v>
      </c>
      <c r="C34" s="237">
        <v>27.85</v>
      </c>
      <c r="D34" s="237">
        <v>20.45</v>
      </c>
      <c r="E34" s="237">
        <v>12097744</v>
      </c>
      <c r="F34" s="236">
        <v>0</v>
      </c>
      <c r="G34" s="236">
        <v>1</v>
      </c>
      <c r="H34" s="236">
        <v>0</v>
      </c>
      <c r="I34" s="116" t="str">
        <f t="shared" si="2"/>
        <v xml:space="preserve">            ОВДП (28 - річні); 10,8%; 27,85р.</v>
      </c>
      <c r="J34" s="118">
        <f t="shared" si="1"/>
        <v>12097744</v>
      </c>
      <c r="K34" s="26"/>
      <c r="L34" s="26"/>
      <c r="M34" s="26"/>
      <c r="N34" s="26"/>
      <c r="O34" s="26"/>
      <c r="P34" s="26"/>
      <c r="Q34" s="26"/>
      <c r="R34" s="26"/>
    </row>
    <row r="35" spans="1:18" ht="15.5" x14ac:dyDescent="0.35">
      <c r="A35" s="236" t="s">
        <v>33</v>
      </c>
      <c r="B35" s="237">
        <v>10.8</v>
      </c>
      <c r="C35" s="237">
        <v>28.85</v>
      </c>
      <c r="D35" s="237">
        <v>21.45</v>
      </c>
      <c r="E35" s="237">
        <v>12097744</v>
      </c>
      <c r="F35" s="236">
        <v>0</v>
      </c>
      <c r="G35" s="236">
        <v>1</v>
      </c>
      <c r="H35" s="236">
        <v>0</v>
      </c>
      <c r="I35" s="116" t="str">
        <f t="shared" si="2"/>
        <v xml:space="preserve">            ОВДП (29 - річні); 10,8%; 28,85р.</v>
      </c>
      <c r="J35" s="118">
        <f t="shared" si="1"/>
        <v>12097744</v>
      </c>
      <c r="K35" s="26"/>
      <c r="L35" s="26"/>
      <c r="M35" s="26"/>
      <c r="N35" s="26"/>
      <c r="O35" s="26"/>
      <c r="P35" s="26"/>
      <c r="Q35" s="26"/>
      <c r="R35" s="26"/>
    </row>
    <row r="36" spans="1:18" ht="15.5" x14ac:dyDescent="0.35">
      <c r="A36" s="236" t="s">
        <v>34</v>
      </c>
      <c r="B36" s="237">
        <v>0</v>
      </c>
      <c r="C36" s="237">
        <v>0</v>
      </c>
      <c r="D36" s="237">
        <v>0</v>
      </c>
      <c r="E36" s="237">
        <v>0</v>
      </c>
      <c r="F36" s="236">
        <v>0</v>
      </c>
      <c r="G36" s="236">
        <v>1</v>
      </c>
      <c r="H36" s="236">
        <v>0</v>
      </c>
      <c r="I36" s="116" t="str">
        <f t="shared" si="2"/>
        <v xml:space="preserve">            ОВДП (3 - місячні); 0%; 0р.</v>
      </c>
      <c r="J36" s="118">
        <f t="shared" si="1"/>
        <v>0</v>
      </c>
      <c r="K36" s="26"/>
      <c r="L36" s="26"/>
      <c r="M36" s="26"/>
      <c r="N36" s="26"/>
      <c r="O36" s="26"/>
      <c r="P36" s="26"/>
      <c r="Q36" s="26"/>
      <c r="R36" s="26"/>
    </row>
    <row r="37" spans="1:18" ht="15.5" x14ac:dyDescent="0.35">
      <c r="A37" s="236" t="s">
        <v>35</v>
      </c>
      <c r="B37" s="237">
        <v>17.568000000000001</v>
      </c>
      <c r="C37" s="237">
        <v>2.6</v>
      </c>
      <c r="D37" s="237">
        <v>2.2599999999999998</v>
      </c>
      <c r="E37" s="237">
        <v>294601083</v>
      </c>
      <c r="F37" s="236">
        <v>0</v>
      </c>
      <c r="G37" s="236">
        <v>1</v>
      </c>
      <c r="H37" s="236">
        <v>0</v>
      </c>
      <c r="I37" s="116" t="str">
        <f t="shared" si="2"/>
        <v xml:space="preserve">            ОВДП (3 - річні); 17,568%; 2,6р.</v>
      </c>
      <c r="J37" s="118">
        <f t="shared" si="1"/>
        <v>294601083</v>
      </c>
      <c r="K37" s="26"/>
      <c r="L37" s="26"/>
      <c r="M37" s="26"/>
      <c r="N37" s="26"/>
      <c r="O37" s="26"/>
      <c r="P37" s="26"/>
      <c r="Q37" s="26"/>
      <c r="R37" s="26"/>
    </row>
    <row r="38" spans="1:18" ht="15.5" x14ac:dyDescent="0.35">
      <c r="A38" s="236" t="s">
        <v>36</v>
      </c>
      <c r="B38" s="237">
        <v>13.43</v>
      </c>
      <c r="C38" s="237">
        <v>18.71</v>
      </c>
      <c r="D38" s="237">
        <v>15.94</v>
      </c>
      <c r="E38" s="237">
        <v>257097751</v>
      </c>
      <c r="F38" s="236">
        <v>0</v>
      </c>
      <c r="G38" s="236">
        <v>1</v>
      </c>
      <c r="H38" s="236">
        <v>0</v>
      </c>
      <c r="I38" s="116" t="str">
        <f t="shared" si="2"/>
        <v xml:space="preserve">            ОВДП (30 - річні); 13,43%; 18,71р.</v>
      </c>
      <c r="J38" s="118">
        <f t="shared" si="1"/>
        <v>257097751</v>
      </c>
      <c r="K38" s="26"/>
      <c r="L38" s="26"/>
      <c r="M38" s="26"/>
      <c r="N38" s="26"/>
      <c r="O38" s="26"/>
      <c r="P38" s="26"/>
      <c r="Q38" s="26"/>
      <c r="R38" s="26"/>
    </row>
    <row r="39" spans="1:18" ht="15.5" x14ac:dyDescent="0.35">
      <c r="A39" s="236" t="s">
        <v>37</v>
      </c>
      <c r="B39" s="237">
        <v>16.29</v>
      </c>
      <c r="C39" s="237">
        <v>3.26</v>
      </c>
      <c r="D39" s="237">
        <v>3.61</v>
      </c>
      <c r="E39" s="237">
        <v>36191801</v>
      </c>
      <c r="F39" s="236">
        <v>0</v>
      </c>
      <c r="G39" s="236">
        <v>1</v>
      </c>
      <c r="H39" s="236">
        <v>0</v>
      </c>
      <c r="I39" s="116" t="str">
        <f t="shared" si="2"/>
        <v xml:space="preserve">            ОВДП (4 - річні); 16,29%; 3,26р.</v>
      </c>
      <c r="J39" s="118">
        <f t="shared" si="1"/>
        <v>36191801</v>
      </c>
      <c r="K39" s="26"/>
      <c r="L39" s="26"/>
      <c r="M39" s="26"/>
      <c r="N39" s="26"/>
      <c r="O39" s="26"/>
      <c r="P39" s="26"/>
      <c r="Q39" s="26"/>
      <c r="R39" s="26"/>
    </row>
    <row r="40" spans="1:18" ht="15.5" x14ac:dyDescent="0.35">
      <c r="A40" s="236" t="s">
        <v>38</v>
      </c>
      <c r="B40" s="237">
        <v>17.425999999999998</v>
      </c>
      <c r="C40" s="237">
        <v>3.28</v>
      </c>
      <c r="D40" s="237">
        <v>2.65</v>
      </c>
      <c r="E40" s="237">
        <v>46069236</v>
      </c>
      <c r="F40" s="236">
        <v>0</v>
      </c>
      <c r="G40" s="236">
        <v>1</v>
      </c>
      <c r="H40" s="236">
        <v>0</v>
      </c>
      <c r="I40" s="116" t="str">
        <f t="shared" si="2"/>
        <v xml:space="preserve">            ОВДП (5 - річні); 17,426%; 3,28р.</v>
      </c>
      <c r="J40" s="118">
        <f t="shared" si="1"/>
        <v>46069236</v>
      </c>
      <c r="K40" s="26"/>
      <c r="L40" s="26"/>
      <c r="M40" s="26"/>
      <c r="N40" s="26"/>
      <c r="O40" s="26"/>
      <c r="P40" s="26"/>
      <c r="Q40" s="26"/>
      <c r="R40" s="26"/>
    </row>
    <row r="41" spans="1:18" ht="15.5" x14ac:dyDescent="0.35">
      <c r="A41" s="236" t="s">
        <v>39</v>
      </c>
      <c r="B41" s="237">
        <v>0</v>
      </c>
      <c r="C41" s="237">
        <v>0</v>
      </c>
      <c r="D41" s="237">
        <v>0</v>
      </c>
      <c r="E41" s="237">
        <v>0</v>
      </c>
      <c r="F41" s="236">
        <v>0</v>
      </c>
      <c r="G41" s="236">
        <v>1</v>
      </c>
      <c r="H41" s="236">
        <v>0</v>
      </c>
      <c r="I41" s="116" t="str">
        <f t="shared" si="2"/>
        <v xml:space="preserve">            ОВДП (6 - місячні); 0%; 0р.</v>
      </c>
      <c r="J41" s="118">
        <f t="shared" si="1"/>
        <v>0</v>
      </c>
      <c r="K41" s="26"/>
      <c r="L41" s="26"/>
      <c r="M41" s="26"/>
      <c r="N41" s="26"/>
      <c r="O41" s="26"/>
      <c r="P41" s="26"/>
      <c r="Q41" s="26"/>
      <c r="R41" s="26"/>
    </row>
    <row r="42" spans="1:18" ht="15.5" x14ac:dyDescent="0.35">
      <c r="A42" s="236" t="s">
        <v>40</v>
      </c>
      <c r="B42" s="237">
        <v>0</v>
      </c>
      <c r="C42" s="237">
        <v>0</v>
      </c>
      <c r="D42" s="237">
        <v>0</v>
      </c>
      <c r="E42" s="237">
        <v>0</v>
      </c>
      <c r="F42" s="236">
        <v>0</v>
      </c>
      <c r="G42" s="236">
        <v>1</v>
      </c>
      <c r="H42" s="236">
        <v>0</v>
      </c>
      <c r="I42" s="116" t="str">
        <f t="shared" si="2"/>
        <v xml:space="preserve">            ОВДП (6 - річні); 0%; 0р.</v>
      </c>
      <c r="J42" s="118">
        <f t="shared" si="1"/>
        <v>0</v>
      </c>
      <c r="K42" s="26"/>
      <c r="L42" s="26"/>
      <c r="M42" s="26"/>
      <c r="N42" s="26"/>
      <c r="O42" s="26"/>
      <c r="P42" s="26"/>
      <c r="Q42" s="26"/>
      <c r="R42" s="26"/>
    </row>
    <row r="43" spans="1:18" ht="15.5" x14ac:dyDescent="0.35">
      <c r="A43" s="236" t="s">
        <v>41</v>
      </c>
      <c r="B43" s="237">
        <v>10.002000000000001</v>
      </c>
      <c r="C43" s="237">
        <v>5.3</v>
      </c>
      <c r="D43" s="237">
        <v>1.96</v>
      </c>
      <c r="E43" s="237">
        <v>17781691</v>
      </c>
      <c r="F43" s="236">
        <v>0</v>
      </c>
      <c r="G43" s="236">
        <v>1</v>
      </c>
      <c r="H43" s="236">
        <v>0</v>
      </c>
      <c r="I43" s="116" t="str">
        <f t="shared" si="2"/>
        <v xml:space="preserve">            ОВДП (7 - річні); 10,002%; 5,3р.</v>
      </c>
      <c r="J43" s="118">
        <f t="shared" si="1"/>
        <v>17781691</v>
      </c>
      <c r="K43" s="26"/>
      <c r="L43" s="26"/>
      <c r="M43" s="26"/>
      <c r="N43" s="26"/>
      <c r="O43" s="26"/>
      <c r="P43" s="26"/>
      <c r="Q43" s="26"/>
      <c r="R43" s="26"/>
    </row>
    <row r="44" spans="1:18" ht="15.5" x14ac:dyDescent="0.35">
      <c r="A44" s="236" t="s">
        <v>42</v>
      </c>
      <c r="B44" s="237">
        <v>11.29</v>
      </c>
      <c r="C44" s="237">
        <v>8.17</v>
      </c>
      <c r="D44" s="237">
        <v>0.7</v>
      </c>
      <c r="E44" s="237">
        <v>2500000</v>
      </c>
      <c r="F44" s="236">
        <v>0</v>
      </c>
      <c r="G44" s="236">
        <v>1</v>
      </c>
      <c r="H44" s="236">
        <v>0</v>
      </c>
      <c r="I44" s="116" t="str">
        <f t="shared" si="2"/>
        <v xml:space="preserve">            ОВДП (8 - річні); 11,29%; 8,17р.</v>
      </c>
      <c r="J44" s="118">
        <f t="shared" si="1"/>
        <v>2500000</v>
      </c>
      <c r="K44" s="26"/>
      <c r="L44" s="26"/>
      <c r="M44" s="26"/>
      <c r="N44" s="26"/>
      <c r="O44" s="26"/>
      <c r="P44" s="26"/>
      <c r="Q44" s="26"/>
      <c r="R44" s="26"/>
    </row>
    <row r="45" spans="1:18" ht="15.5" x14ac:dyDescent="0.35">
      <c r="A45" s="236" t="s">
        <v>43</v>
      </c>
      <c r="B45" s="237">
        <v>0</v>
      </c>
      <c r="C45" s="237">
        <v>0</v>
      </c>
      <c r="D45" s="237">
        <v>0</v>
      </c>
      <c r="E45" s="237">
        <v>0</v>
      </c>
      <c r="F45" s="236">
        <v>0</v>
      </c>
      <c r="G45" s="236">
        <v>1</v>
      </c>
      <c r="H45" s="236">
        <v>0</v>
      </c>
      <c r="I45" s="116" t="str">
        <f t="shared" si="2"/>
        <v xml:space="preserve">            ОВДП (9 - місячні); 0%; 0р.</v>
      </c>
      <c r="J45" s="118">
        <f t="shared" si="1"/>
        <v>0</v>
      </c>
      <c r="K45" s="26"/>
      <c r="L45" s="26"/>
      <c r="M45" s="26"/>
      <c r="N45" s="26"/>
      <c r="O45" s="26"/>
      <c r="P45" s="26"/>
      <c r="Q45" s="26"/>
      <c r="R45" s="26"/>
    </row>
    <row r="46" spans="1:18" ht="15.5" x14ac:dyDescent="0.35">
      <c r="A46" s="236" t="s">
        <v>44</v>
      </c>
      <c r="B46" s="237">
        <v>10.57</v>
      </c>
      <c r="C46" s="237">
        <v>9.2899999999999991</v>
      </c>
      <c r="D46" s="237">
        <v>2.2000000000000002</v>
      </c>
      <c r="E46" s="237">
        <v>5500000</v>
      </c>
      <c r="F46" s="236">
        <v>0</v>
      </c>
      <c r="G46" s="236">
        <v>1</v>
      </c>
      <c r="H46" s="236">
        <v>0</v>
      </c>
      <c r="I46" s="116" t="str">
        <f t="shared" si="2"/>
        <v xml:space="preserve">            ОВДП (9 - річні); 10,57%; 9,29р.</v>
      </c>
      <c r="J46" s="118">
        <f t="shared" si="1"/>
        <v>5500000</v>
      </c>
      <c r="K46" s="26"/>
      <c r="L46" s="26"/>
      <c r="M46" s="26"/>
      <c r="N46" s="26"/>
      <c r="O46" s="26"/>
      <c r="P46" s="26"/>
      <c r="Q46" s="26"/>
      <c r="R46" s="26"/>
    </row>
    <row r="47" spans="1:18" ht="15.5" x14ac:dyDescent="0.35">
      <c r="A47" s="236" t="s">
        <v>45</v>
      </c>
      <c r="B47" s="237">
        <v>1.7010000000000001</v>
      </c>
      <c r="C47" s="237">
        <v>17.11</v>
      </c>
      <c r="D47" s="237">
        <v>14.46</v>
      </c>
      <c r="E47" s="237">
        <v>4757821992.2299995</v>
      </c>
      <c r="F47" s="236">
        <v>1</v>
      </c>
      <c r="G47" s="236">
        <v>0</v>
      </c>
      <c r="H47" s="236">
        <v>0</v>
      </c>
      <c r="I47" s="116" t="str">
        <f t="shared" si="2"/>
        <v xml:space="preserve">      Державний зовнішній борг; 1,701%; 17,11р.</v>
      </c>
      <c r="J47" s="118">
        <f t="shared" si="1"/>
        <v>4757821992.2299995</v>
      </c>
      <c r="K47" s="26"/>
      <c r="L47" s="26"/>
      <c r="M47" s="26"/>
      <c r="N47" s="26"/>
      <c r="O47" s="26"/>
      <c r="P47" s="26"/>
      <c r="Q47" s="26"/>
      <c r="R47" s="26"/>
    </row>
    <row r="48" spans="1:18" ht="15.5" x14ac:dyDescent="0.35">
      <c r="A48" s="236" t="s">
        <v>46</v>
      </c>
      <c r="B48" s="237">
        <v>0.95299999999999996</v>
      </c>
      <c r="C48" s="237">
        <v>9.9700000000000006</v>
      </c>
      <c r="D48" s="237">
        <v>9.2799999999999994</v>
      </c>
      <c r="E48" s="237">
        <v>502522223.32999998</v>
      </c>
      <c r="F48" s="236">
        <v>0</v>
      </c>
      <c r="G48" s="236">
        <v>0</v>
      </c>
      <c r="H48" s="236">
        <v>0</v>
      </c>
      <c r="I48" s="116" t="str">
        <f t="shared" si="2"/>
        <v xml:space="preserve">         в т.ч. ОЗДП; 0,953%; 9,97р.</v>
      </c>
      <c r="J48" s="118">
        <f t="shared" si="1"/>
        <v>502522223.32999998</v>
      </c>
      <c r="K48" s="26"/>
      <c r="L48" s="26"/>
      <c r="M48" s="26"/>
      <c r="N48" s="26"/>
      <c r="O48" s="26"/>
      <c r="P48" s="26"/>
      <c r="Q48" s="26"/>
      <c r="R48" s="26"/>
    </row>
    <row r="49" spans="1:18" ht="15.5" x14ac:dyDescent="0.35">
      <c r="A49" s="277" t="s">
        <v>47</v>
      </c>
      <c r="B49" s="278">
        <v>5.6340000000000003</v>
      </c>
      <c r="C49" s="278">
        <v>9.86</v>
      </c>
      <c r="D49" s="278">
        <v>4.5599999999999996</v>
      </c>
      <c r="E49" s="278">
        <v>280656329.04000002</v>
      </c>
      <c r="F49" s="277">
        <v>0</v>
      </c>
      <c r="G49" s="277">
        <v>0</v>
      </c>
      <c r="H49" s="277">
        <v>2</v>
      </c>
      <c r="I49" s="116" t="str">
        <f t="shared" si="2"/>
        <v xml:space="preserve">   Гарантований борг; 5,634%; 9,86р.</v>
      </c>
      <c r="J49" s="118">
        <f t="shared" si="1"/>
        <v>280656329.04000002</v>
      </c>
      <c r="K49" s="26"/>
      <c r="L49" s="26"/>
      <c r="M49" s="26"/>
      <c r="N49" s="26"/>
      <c r="O49" s="26"/>
      <c r="P49" s="26"/>
      <c r="Q49" s="26"/>
      <c r="R49" s="26"/>
    </row>
    <row r="50" spans="1:18" ht="15.5" x14ac:dyDescent="0.35">
      <c r="A50" s="236" t="s">
        <v>48</v>
      </c>
      <c r="B50" s="237">
        <v>7.6879999999999997</v>
      </c>
      <c r="C50" s="237">
        <v>5.09</v>
      </c>
      <c r="D50" s="237">
        <v>4.3600000000000003</v>
      </c>
      <c r="E50" s="237">
        <v>73692753.780000001</v>
      </c>
      <c r="F50" s="236">
        <v>1</v>
      </c>
      <c r="G50" s="236">
        <v>0</v>
      </c>
      <c r="H50" s="236">
        <v>0</v>
      </c>
      <c r="I50" s="116" t="str">
        <f t="shared" si="2"/>
        <v xml:space="preserve">      Гарантований внутрішній борг; 7,688%; 5,09р.</v>
      </c>
      <c r="J50" s="118">
        <f t="shared" si="1"/>
        <v>73692753.780000001</v>
      </c>
      <c r="K50" s="26"/>
      <c r="L50" s="26"/>
      <c r="M50" s="26"/>
      <c r="N50" s="26"/>
      <c r="O50" s="26"/>
      <c r="P50" s="26"/>
      <c r="Q50" s="26"/>
      <c r="R50" s="26"/>
    </row>
    <row r="51" spans="1:18" ht="15.5" x14ac:dyDescent="0.35">
      <c r="A51" s="236" t="s">
        <v>49</v>
      </c>
      <c r="B51" s="237">
        <v>7.6280000000000001</v>
      </c>
      <c r="C51" s="237">
        <v>3.95</v>
      </c>
      <c r="D51" s="237">
        <v>2.95</v>
      </c>
      <c r="E51" s="237">
        <v>4475011.5999999996</v>
      </c>
      <c r="F51" s="236">
        <v>0</v>
      </c>
      <c r="G51" s="236">
        <v>0</v>
      </c>
      <c r="H51" s="236">
        <v>0</v>
      </c>
      <c r="I51" s="116" t="str">
        <f t="shared" si="2"/>
        <v xml:space="preserve">         в т.ч. Облігації; 7,628%; 3,95р.</v>
      </c>
      <c r="J51" s="118">
        <f t="shared" si="1"/>
        <v>4475011.5999999996</v>
      </c>
      <c r="K51" s="26"/>
      <c r="L51" s="26"/>
      <c r="M51" s="26"/>
      <c r="N51" s="26"/>
      <c r="O51" s="26"/>
      <c r="P51" s="26"/>
      <c r="Q51" s="26"/>
      <c r="R51" s="26"/>
    </row>
    <row r="52" spans="1:18" ht="15.5" x14ac:dyDescent="0.35">
      <c r="A52" s="236" t="s">
        <v>50</v>
      </c>
      <c r="B52" s="237">
        <v>4.9029999999999996</v>
      </c>
      <c r="C52" s="237">
        <v>13.1</v>
      </c>
      <c r="D52" s="237">
        <v>4.6399999999999997</v>
      </c>
      <c r="E52" s="237">
        <v>206963575.25999999</v>
      </c>
      <c r="F52" s="236">
        <v>1</v>
      </c>
      <c r="G52" s="236">
        <v>0</v>
      </c>
      <c r="H52" s="236">
        <v>0</v>
      </c>
      <c r="I52" s="116" t="str">
        <f t="shared" si="2"/>
        <v xml:space="preserve">      Гарантований зовнішній борг; 4,903%; 13,1р.</v>
      </c>
      <c r="J52" s="118">
        <f t="shared" si="1"/>
        <v>206963575.25999999</v>
      </c>
      <c r="K52" s="26"/>
      <c r="L52" s="26"/>
      <c r="M52" s="26"/>
      <c r="N52" s="26"/>
      <c r="O52" s="26"/>
      <c r="P52" s="26"/>
      <c r="Q52" s="26"/>
      <c r="R52" s="26"/>
    </row>
    <row r="53" spans="1:18" ht="15.5" x14ac:dyDescent="0.35">
      <c r="A53" s="236" t="s">
        <v>46</v>
      </c>
      <c r="B53" s="237">
        <v>6.875</v>
      </c>
      <c r="C53" s="237">
        <v>7.09</v>
      </c>
      <c r="D53" s="237">
        <v>3.7</v>
      </c>
      <c r="E53" s="237">
        <v>34352175</v>
      </c>
      <c r="F53" s="236">
        <v>0</v>
      </c>
      <c r="G53" s="236">
        <v>0</v>
      </c>
      <c r="H53" s="236">
        <v>0</v>
      </c>
      <c r="I53" s="116" t="str">
        <f t="shared" si="2"/>
        <v xml:space="preserve">         в т.ч. ОЗДП; 6,875%; 7,09р.</v>
      </c>
      <c r="J53" s="118">
        <f t="shared" si="1"/>
        <v>34352175</v>
      </c>
      <c r="K53" s="26"/>
      <c r="L53" s="26"/>
      <c r="M53" s="26"/>
      <c r="N53" s="26"/>
      <c r="O53" s="26"/>
      <c r="P53" s="26"/>
      <c r="Q53" s="26"/>
      <c r="R53" s="26"/>
    </row>
    <row r="54" spans="1:18" x14ac:dyDescent="0.3">
      <c r="B54" s="25"/>
      <c r="C54" s="25"/>
      <c r="D54" s="25"/>
      <c r="E54" s="25"/>
      <c r="F54" s="26"/>
      <c r="G54" s="26"/>
      <c r="H54" s="26"/>
      <c r="I54" s="116"/>
      <c r="J54" s="118">
        <f t="shared" si="1"/>
        <v>0</v>
      </c>
      <c r="K54" s="26"/>
      <c r="L54" s="26"/>
      <c r="M54" s="26"/>
      <c r="N54" s="26"/>
      <c r="O54" s="26"/>
      <c r="P54" s="26"/>
      <c r="Q54" s="26"/>
      <c r="R54" s="26"/>
    </row>
    <row r="55" spans="1:18" x14ac:dyDescent="0.3">
      <c r="B55" s="25"/>
      <c r="C55" s="25"/>
      <c r="D55" s="25"/>
      <c r="E55" s="25"/>
      <c r="F55" s="26"/>
      <c r="G55" s="26"/>
      <c r="H55" s="26"/>
      <c r="I55" s="116"/>
      <c r="J55" s="118">
        <f t="shared" si="1"/>
        <v>0</v>
      </c>
      <c r="K55" s="26"/>
      <c r="L55" s="26"/>
      <c r="M55" s="26"/>
      <c r="N55" s="26"/>
      <c r="O55" s="26"/>
      <c r="P55" s="26"/>
      <c r="Q55" s="26"/>
      <c r="R55" s="26"/>
    </row>
    <row r="56" spans="1:18" x14ac:dyDescent="0.3">
      <c r="B56" s="25"/>
      <c r="C56" s="25"/>
      <c r="D56" s="25"/>
      <c r="E56" s="25"/>
      <c r="F56" s="26"/>
      <c r="G56" s="26"/>
      <c r="H56" s="26"/>
      <c r="I56" s="116"/>
      <c r="J56" s="118">
        <f t="shared" si="1"/>
        <v>0</v>
      </c>
      <c r="K56" s="26"/>
      <c r="L56" s="26"/>
      <c r="M56" s="26"/>
      <c r="N56" s="26"/>
      <c r="O56" s="26"/>
      <c r="P56" s="26"/>
      <c r="Q56" s="26"/>
      <c r="R56" s="26"/>
    </row>
    <row r="57" spans="1:18" x14ac:dyDescent="0.3">
      <c r="B57" s="25"/>
      <c r="C57" s="25"/>
      <c r="D57" s="25"/>
      <c r="E57" s="25"/>
      <c r="F57" s="26"/>
      <c r="G57" s="26"/>
      <c r="H57" s="26"/>
      <c r="I57" s="116"/>
      <c r="J57" s="118">
        <f t="shared" si="1"/>
        <v>0</v>
      </c>
      <c r="K57" s="26"/>
      <c r="L57" s="26"/>
      <c r="M57" s="26"/>
      <c r="N57" s="26"/>
      <c r="O57" s="26"/>
      <c r="P57" s="26"/>
      <c r="Q57" s="26"/>
      <c r="R57" s="26"/>
    </row>
    <row r="58" spans="1:18" x14ac:dyDescent="0.3">
      <c r="B58" s="25"/>
      <c r="C58" s="25"/>
      <c r="D58" s="25"/>
      <c r="E58" s="25"/>
      <c r="F58" s="26"/>
      <c r="G58" s="26"/>
      <c r="H58" s="26"/>
      <c r="I58" s="116"/>
      <c r="J58" s="118">
        <f t="shared" si="1"/>
        <v>0</v>
      </c>
      <c r="K58" s="26"/>
      <c r="L58" s="26"/>
      <c r="M58" s="26"/>
      <c r="N58" s="26"/>
      <c r="O58" s="26"/>
      <c r="P58" s="26"/>
      <c r="Q58" s="26"/>
      <c r="R58" s="26"/>
    </row>
    <row r="59" spans="1:18" x14ac:dyDescent="0.3">
      <c r="B59" s="25"/>
      <c r="C59" s="25"/>
      <c r="D59" s="25"/>
      <c r="E59" s="25"/>
      <c r="F59" s="26"/>
      <c r="G59" s="26"/>
      <c r="H59" s="26"/>
      <c r="I59" s="116"/>
      <c r="J59" s="118">
        <f t="shared" si="1"/>
        <v>0</v>
      </c>
      <c r="K59" s="26"/>
      <c r="L59" s="26"/>
      <c r="M59" s="26"/>
      <c r="N59" s="26"/>
      <c r="O59" s="26"/>
      <c r="P59" s="26"/>
      <c r="Q59" s="26"/>
      <c r="R59" s="26"/>
    </row>
    <row r="60" spans="1:18" x14ac:dyDescent="0.3">
      <c r="B60" s="25"/>
      <c r="C60" s="25"/>
      <c r="D60" s="25"/>
      <c r="E60" s="25"/>
      <c r="F60" s="26"/>
      <c r="G60" s="26"/>
      <c r="H60" s="26"/>
      <c r="I60" s="116"/>
      <c r="J60" s="118">
        <f t="shared" si="1"/>
        <v>0</v>
      </c>
      <c r="K60" s="26"/>
      <c r="L60" s="26"/>
      <c r="M60" s="26"/>
      <c r="N60" s="26"/>
      <c r="O60" s="26"/>
      <c r="P60" s="26"/>
      <c r="Q60" s="26"/>
      <c r="R60" s="26"/>
    </row>
    <row r="61" spans="1:18" x14ac:dyDescent="0.3">
      <c r="B61" s="25"/>
      <c r="C61" s="25"/>
      <c r="D61" s="25"/>
      <c r="E61" s="25"/>
      <c r="F61" s="26"/>
      <c r="G61" s="26"/>
      <c r="H61" s="26"/>
      <c r="I61" s="116"/>
      <c r="J61" s="118">
        <f t="shared" si="1"/>
        <v>0</v>
      </c>
      <c r="K61" s="26"/>
      <c r="L61" s="26"/>
      <c r="M61" s="26"/>
      <c r="N61" s="26"/>
      <c r="O61" s="26"/>
      <c r="P61" s="26"/>
      <c r="Q61" s="26"/>
      <c r="R61" s="26"/>
    </row>
    <row r="62" spans="1:18" x14ac:dyDescent="0.3">
      <c r="B62" s="25"/>
      <c r="C62" s="25"/>
      <c r="D62" s="25"/>
      <c r="E62" s="25"/>
      <c r="F62" s="26"/>
      <c r="G62" s="26"/>
      <c r="H62" s="26"/>
      <c r="I62" s="116"/>
      <c r="J62" s="116"/>
      <c r="K62" s="26"/>
      <c r="L62" s="26"/>
      <c r="M62" s="26"/>
      <c r="N62" s="26"/>
      <c r="O62" s="26"/>
      <c r="P62" s="26"/>
      <c r="Q62" s="26"/>
      <c r="R62" s="26"/>
    </row>
    <row r="63" spans="1:18" x14ac:dyDescent="0.3">
      <c r="B63" s="25"/>
      <c r="C63" s="25"/>
      <c r="D63" s="25"/>
      <c r="E63" s="25"/>
      <c r="F63" s="26"/>
      <c r="G63" s="26"/>
      <c r="H63" s="26"/>
      <c r="I63" s="116"/>
      <c r="J63" s="116"/>
      <c r="K63" s="26"/>
      <c r="L63" s="26"/>
      <c r="M63" s="26"/>
      <c r="N63" s="26"/>
      <c r="O63" s="26"/>
      <c r="P63" s="26"/>
      <c r="Q63" s="26"/>
      <c r="R63" s="26"/>
    </row>
    <row r="64" spans="1:18" x14ac:dyDescent="0.3">
      <c r="B64" s="25"/>
      <c r="C64" s="25"/>
      <c r="D64" s="25"/>
      <c r="E64" s="25"/>
      <c r="F64" s="26"/>
      <c r="G64" s="26"/>
      <c r="H64" s="26"/>
      <c r="I64" s="116"/>
      <c r="J64" s="116"/>
      <c r="K64" s="26"/>
      <c r="L64" s="26"/>
      <c r="M64" s="26"/>
      <c r="N64" s="26"/>
      <c r="O64" s="26"/>
      <c r="P64" s="26"/>
      <c r="Q64" s="26"/>
      <c r="R64" s="26"/>
    </row>
    <row r="65" spans="2:18" x14ac:dyDescent="0.3">
      <c r="B65" s="25"/>
      <c r="C65" s="25"/>
      <c r="D65" s="25"/>
      <c r="E65" s="25"/>
      <c r="F65" s="26"/>
      <c r="G65" s="26"/>
      <c r="H65" s="26"/>
      <c r="I65" s="116"/>
      <c r="J65" s="116"/>
      <c r="K65" s="26"/>
      <c r="L65" s="26"/>
      <c r="M65" s="26"/>
      <c r="N65" s="26"/>
      <c r="O65" s="26"/>
      <c r="P65" s="26"/>
      <c r="Q65" s="26"/>
      <c r="R65" s="26"/>
    </row>
    <row r="66" spans="2:18" x14ac:dyDescent="0.3">
      <c r="B66" s="25"/>
      <c r="C66" s="25"/>
      <c r="D66" s="25"/>
      <c r="E66" s="25"/>
      <c r="F66" s="26"/>
      <c r="G66" s="26"/>
      <c r="H66" s="26"/>
      <c r="I66" s="116"/>
      <c r="J66" s="116"/>
      <c r="K66" s="26"/>
      <c r="L66" s="26"/>
      <c r="M66" s="26"/>
      <c r="N66" s="26"/>
      <c r="O66" s="26"/>
      <c r="P66" s="26"/>
      <c r="Q66" s="26"/>
      <c r="R66" s="26"/>
    </row>
    <row r="67" spans="2:18" x14ac:dyDescent="0.3">
      <c r="B67" s="25"/>
      <c r="C67" s="25"/>
      <c r="D67" s="25"/>
      <c r="E67" s="25"/>
      <c r="F67" s="26"/>
      <c r="G67" s="26"/>
      <c r="H67" s="26"/>
      <c r="I67" s="116"/>
      <c r="J67" s="116"/>
      <c r="K67" s="26"/>
      <c r="L67" s="26"/>
      <c r="M67" s="26"/>
      <c r="N67" s="26"/>
      <c r="O67" s="26"/>
      <c r="P67" s="26"/>
      <c r="Q67" s="26"/>
      <c r="R67" s="26"/>
    </row>
    <row r="68" spans="2:18" x14ac:dyDescent="0.3">
      <c r="B68" s="25"/>
      <c r="C68" s="25"/>
      <c r="D68" s="25"/>
      <c r="E68" s="25"/>
      <c r="F68" s="26"/>
      <c r="G68" s="26"/>
      <c r="H68" s="26"/>
      <c r="I68" s="116"/>
      <c r="J68" s="116"/>
      <c r="K68" s="26"/>
      <c r="L68" s="26"/>
      <c r="M68" s="26"/>
      <c r="N68" s="26"/>
      <c r="O68" s="26"/>
      <c r="P68" s="26"/>
      <c r="Q68" s="26"/>
      <c r="R68" s="26"/>
    </row>
    <row r="69" spans="2:18" x14ac:dyDescent="0.3">
      <c r="B69" s="25"/>
      <c r="C69" s="25"/>
      <c r="D69" s="25"/>
      <c r="E69" s="25"/>
      <c r="F69" s="26"/>
      <c r="G69" s="26"/>
      <c r="H69" s="26"/>
      <c r="I69" s="116"/>
      <c r="J69" s="116"/>
      <c r="K69" s="26"/>
      <c r="L69" s="26"/>
      <c r="M69" s="26"/>
      <c r="N69" s="26"/>
      <c r="O69" s="26"/>
      <c r="P69" s="26"/>
      <c r="Q69" s="26"/>
      <c r="R69" s="26"/>
    </row>
    <row r="70" spans="2:18" x14ac:dyDescent="0.3">
      <c r="B70" s="25"/>
      <c r="C70" s="25"/>
      <c r="D70" s="25"/>
      <c r="E70" s="25"/>
      <c r="F70" s="26"/>
      <c r="G70" s="26"/>
      <c r="H70" s="26"/>
      <c r="I70" s="116"/>
      <c r="J70" s="116"/>
      <c r="K70" s="26"/>
      <c r="L70" s="26"/>
      <c r="M70" s="26"/>
      <c r="N70" s="26"/>
      <c r="O70" s="26"/>
      <c r="P70" s="26"/>
      <c r="Q70" s="26"/>
      <c r="R70" s="26"/>
    </row>
    <row r="71" spans="2:18" x14ac:dyDescent="0.3">
      <c r="B71" s="25"/>
      <c r="C71" s="25"/>
      <c r="D71" s="25"/>
      <c r="E71" s="25"/>
      <c r="F71" s="26"/>
      <c r="G71" s="26"/>
      <c r="H71" s="26"/>
      <c r="I71" s="116"/>
      <c r="J71" s="116"/>
      <c r="K71" s="26"/>
      <c r="L71" s="26"/>
      <c r="M71" s="26"/>
      <c r="N71" s="26"/>
      <c r="O71" s="26"/>
      <c r="P71" s="26"/>
      <c r="Q71" s="26"/>
      <c r="R71" s="26"/>
    </row>
    <row r="72" spans="2:18" x14ac:dyDescent="0.3">
      <c r="B72" s="25"/>
      <c r="C72" s="25"/>
      <c r="D72" s="25"/>
      <c r="E72" s="25"/>
      <c r="F72" s="26"/>
      <c r="G72" s="26"/>
      <c r="H72" s="26"/>
      <c r="I72" s="116"/>
      <c r="J72" s="116"/>
      <c r="K72" s="26"/>
      <c r="L72" s="26"/>
      <c r="M72" s="26"/>
      <c r="N72" s="26"/>
      <c r="O72" s="26"/>
      <c r="P72" s="26"/>
      <c r="Q72" s="26"/>
      <c r="R72" s="26"/>
    </row>
    <row r="73" spans="2:18" x14ac:dyDescent="0.3">
      <c r="B73" s="25"/>
      <c r="C73" s="25"/>
      <c r="D73" s="25"/>
      <c r="E73" s="25"/>
      <c r="F73" s="26"/>
      <c r="G73" s="26"/>
      <c r="H73" s="26"/>
      <c r="I73" s="116"/>
      <c r="J73" s="116"/>
      <c r="K73" s="26"/>
      <c r="L73" s="26"/>
      <c r="M73" s="26"/>
      <c r="N73" s="26"/>
      <c r="O73" s="26"/>
      <c r="P73" s="26"/>
      <c r="Q73" s="26"/>
      <c r="R73" s="26"/>
    </row>
    <row r="74" spans="2:18" x14ac:dyDescent="0.3">
      <c r="B74" s="25"/>
      <c r="C74" s="25"/>
      <c r="D74" s="25"/>
      <c r="E74" s="25"/>
      <c r="F74" s="26"/>
      <c r="G74" s="26"/>
      <c r="H74" s="26"/>
      <c r="I74" s="116"/>
      <c r="J74" s="116"/>
      <c r="K74" s="26"/>
      <c r="L74" s="26"/>
      <c r="M74" s="26"/>
      <c r="N74" s="26"/>
      <c r="O74" s="26"/>
      <c r="P74" s="26"/>
      <c r="Q74" s="26"/>
      <c r="R74" s="26"/>
    </row>
    <row r="75" spans="2:18" x14ac:dyDescent="0.3">
      <c r="B75" s="25"/>
      <c r="C75" s="25"/>
      <c r="D75" s="25"/>
      <c r="E75" s="25"/>
      <c r="F75" s="26"/>
      <c r="G75" s="26"/>
      <c r="H75" s="26"/>
      <c r="I75" s="116"/>
      <c r="J75" s="116"/>
      <c r="K75" s="26"/>
      <c r="L75" s="26"/>
      <c r="M75" s="26"/>
      <c r="N75" s="26"/>
      <c r="O75" s="26"/>
      <c r="P75" s="26"/>
      <c r="Q75" s="26"/>
      <c r="R75" s="26"/>
    </row>
    <row r="76" spans="2:18" x14ac:dyDescent="0.3">
      <c r="B76" s="25"/>
      <c r="C76" s="25"/>
      <c r="D76" s="25"/>
      <c r="E76" s="25"/>
      <c r="F76" s="26"/>
      <c r="G76" s="26"/>
      <c r="H76" s="26"/>
      <c r="I76" s="116"/>
      <c r="J76" s="116"/>
      <c r="K76" s="26"/>
      <c r="L76" s="26"/>
      <c r="M76" s="26"/>
      <c r="N76" s="26"/>
      <c r="O76" s="26"/>
      <c r="P76" s="26"/>
      <c r="Q76" s="26"/>
      <c r="R76" s="26"/>
    </row>
    <row r="77" spans="2:18" x14ac:dyDescent="0.3">
      <c r="B77" s="25"/>
      <c r="C77" s="25"/>
      <c r="D77" s="25"/>
      <c r="E77" s="25"/>
      <c r="F77" s="26"/>
      <c r="G77" s="26"/>
      <c r="H77" s="26"/>
      <c r="I77" s="116"/>
      <c r="J77" s="116"/>
      <c r="K77" s="26"/>
      <c r="L77" s="26"/>
      <c r="M77" s="26"/>
      <c r="N77" s="26"/>
      <c r="O77" s="26"/>
      <c r="P77" s="26"/>
      <c r="Q77" s="26"/>
      <c r="R77" s="26"/>
    </row>
    <row r="78" spans="2:18" x14ac:dyDescent="0.3">
      <c r="B78" s="25"/>
      <c r="C78" s="25"/>
      <c r="D78" s="25"/>
      <c r="E78" s="25"/>
      <c r="F78" s="26"/>
      <c r="G78" s="26"/>
      <c r="H78" s="26"/>
      <c r="I78" s="116"/>
      <c r="J78" s="116"/>
      <c r="K78" s="26"/>
      <c r="L78" s="26"/>
      <c r="M78" s="26"/>
      <c r="N78" s="26"/>
      <c r="O78" s="26"/>
      <c r="P78" s="26"/>
      <c r="Q78" s="26"/>
      <c r="R78" s="26"/>
    </row>
    <row r="79" spans="2:18" x14ac:dyDescent="0.3">
      <c r="B79" s="25"/>
      <c r="C79" s="25"/>
      <c r="D79" s="25"/>
      <c r="E79" s="25"/>
      <c r="F79" s="26"/>
      <c r="G79" s="26"/>
      <c r="H79" s="26"/>
      <c r="I79" s="116"/>
      <c r="J79" s="116"/>
      <c r="K79" s="26"/>
      <c r="L79" s="26"/>
      <c r="M79" s="26"/>
      <c r="N79" s="26"/>
      <c r="O79" s="26"/>
      <c r="P79" s="26"/>
      <c r="Q79" s="26"/>
      <c r="R79" s="26"/>
    </row>
    <row r="80" spans="2:18" x14ac:dyDescent="0.3">
      <c r="B80" s="25"/>
      <c r="C80" s="25"/>
      <c r="D80" s="25"/>
      <c r="E80" s="25"/>
      <c r="F80" s="26"/>
      <c r="G80" s="26"/>
      <c r="H80" s="26"/>
      <c r="I80" s="116"/>
      <c r="J80" s="116"/>
      <c r="K80" s="26"/>
      <c r="L80" s="26"/>
      <c r="M80" s="26"/>
      <c r="N80" s="26"/>
      <c r="O80" s="26"/>
      <c r="P80" s="26"/>
      <c r="Q80" s="26"/>
      <c r="R80" s="26"/>
    </row>
    <row r="81" spans="2:18" x14ac:dyDescent="0.3">
      <c r="B81" s="25"/>
      <c r="C81" s="25"/>
      <c r="D81" s="25"/>
      <c r="E81" s="25"/>
      <c r="F81" s="26"/>
      <c r="G81" s="26"/>
      <c r="H81" s="26"/>
      <c r="I81" s="116"/>
      <c r="J81" s="116"/>
      <c r="K81" s="26"/>
      <c r="L81" s="26"/>
      <c r="M81" s="26"/>
      <c r="N81" s="26"/>
      <c r="O81" s="26"/>
      <c r="P81" s="26"/>
      <c r="Q81" s="26"/>
      <c r="R81" s="26"/>
    </row>
    <row r="82" spans="2:18" x14ac:dyDescent="0.3">
      <c r="B82" s="25"/>
      <c r="C82" s="25"/>
      <c r="D82" s="25"/>
      <c r="E82" s="25"/>
      <c r="F82" s="26"/>
      <c r="G82" s="26"/>
      <c r="H82" s="26"/>
      <c r="I82" s="116"/>
      <c r="J82" s="116"/>
      <c r="K82" s="26"/>
      <c r="L82" s="26"/>
      <c r="M82" s="26"/>
      <c r="N82" s="26"/>
      <c r="O82" s="26"/>
      <c r="P82" s="26"/>
      <c r="Q82" s="26"/>
      <c r="R82" s="26"/>
    </row>
    <row r="83" spans="2:18" x14ac:dyDescent="0.3">
      <c r="B83" s="25"/>
      <c r="C83" s="25"/>
      <c r="D83" s="25"/>
      <c r="E83" s="25"/>
      <c r="F83" s="26"/>
      <c r="G83" s="26"/>
      <c r="H83" s="26"/>
      <c r="I83" s="116"/>
      <c r="J83" s="116"/>
      <c r="K83" s="26"/>
      <c r="L83" s="26"/>
      <c r="M83" s="26"/>
      <c r="N83" s="26"/>
      <c r="O83" s="26"/>
      <c r="P83" s="26"/>
      <c r="Q83" s="26"/>
      <c r="R83" s="26"/>
    </row>
    <row r="84" spans="2:18" x14ac:dyDescent="0.3">
      <c r="B84" s="25"/>
      <c r="C84" s="25"/>
      <c r="D84" s="25"/>
      <c r="E84" s="25"/>
      <c r="F84" s="26"/>
      <c r="G84" s="26"/>
      <c r="H84" s="26"/>
      <c r="I84" s="116"/>
      <c r="J84" s="116"/>
      <c r="K84" s="26"/>
      <c r="L84" s="26"/>
      <c r="M84" s="26"/>
      <c r="N84" s="26"/>
      <c r="O84" s="26"/>
      <c r="P84" s="26"/>
      <c r="Q84" s="26"/>
      <c r="R84" s="26"/>
    </row>
    <row r="85" spans="2:18" x14ac:dyDescent="0.3">
      <c r="B85" s="25"/>
      <c r="C85" s="25"/>
      <c r="D85" s="25"/>
      <c r="E85" s="25"/>
      <c r="F85" s="26"/>
      <c r="G85" s="26"/>
      <c r="H85" s="26"/>
      <c r="I85" s="116"/>
      <c r="J85" s="116"/>
      <c r="K85" s="26"/>
      <c r="L85" s="26"/>
      <c r="M85" s="26"/>
      <c r="N85" s="26"/>
      <c r="O85" s="26"/>
      <c r="P85" s="26"/>
      <c r="Q85" s="26"/>
      <c r="R85" s="26"/>
    </row>
    <row r="86" spans="2:18" x14ac:dyDescent="0.3">
      <c r="B86" s="25"/>
      <c r="C86" s="25"/>
      <c r="D86" s="25"/>
      <c r="E86" s="25"/>
      <c r="F86" s="26"/>
      <c r="G86" s="26"/>
      <c r="H86" s="26"/>
      <c r="I86" s="116"/>
      <c r="J86" s="116"/>
      <c r="K86" s="26"/>
      <c r="L86" s="26"/>
      <c r="M86" s="26"/>
      <c r="N86" s="26"/>
      <c r="O86" s="26"/>
      <c r="P86" s="26"/>
      <c r="Q86" s="26"/>
      <c r="R86" s="26"/>
    </row>
    <row r="87" spans="2:18" x14ac:dyDescent="0.3">
      <c r="B87" s="25"/>
      <c r="C87" s="25"/>
      <c r="D87" s="25"/>
      <c r="E87" s="25"/>
      <c r="F87" s="26"/>
      <c r="G87" s="26"/>
      <c r="H87" s="26"/>
      <c r="I87" s="116"/>
      <c r="J87" s="116"/>
      <c r="K87" s="26"/>
      <c r="L87" s="26"/>
      <c r="M87" s="26"/>
      <c r="N87" s="26"/>
      <c r="O87" s="26"/>
      <c r="P87" s="26"/>
      <c r="Q87" s="26"/>
      <c r="R87" s="26"/>
    </row>
    <row r="88" spans="2:18" x14ac:dyDescent="0.3">
      <c r="B88" s="25"/>
      <c r="C88" s="25"/>
      <c r="D88" s="25"/>
      <c r="E88" s="25"/>
      <c r="F88" s="26"/>
      <c r="G88" s="26"/>
      <c r="H88" s="26"/>
      <c r="I88" s="116"/>
      <c r="J88" s="116"/>
      <c r="K88" s="26"/>
      <c r="L88" s="26"/>
      <c r="M88" s="26"/>
      <c r="N88" s="26"/>
      <c r="O88" s="26"/>
      <c r="P88" s="26"/>
      <c r="Q88" s="26"/>
      <c r="R88" s="26"/>
    </row>
    <row r="89" spans="2:18" x14ac:dyDescent="0.3">
      <c r="B89" s="25"/>
      <c r="C89" s="25"/>
      <c r="D89" s="25"/>
      <c r="E89" s="25"/>
      <c r="F89" s="26"/>
      <c r="G89" s="26"/>
      <c r="H89" s="26"/>
      <c r="I89" s="116"/>
      <c r="J89" s="116"/>
      <c r="K89" s="26"/>
      <c r="L89" s="26"/>
      <c r="M89" s="26"/>
      <c r="N89" s="26"/>
      <c r="O89" s="26"/>
      <c r="P89" s="26"/>
      <c r="Q89" s="26"/>
      <c r="R89" s="26"/>
    </row>
    <row r="90" spans="2:18" x14ac:dyDescent="0.3">
      <c r="B90" s="25"/>
      <c r="C90" s="25"/>
      <c r="D90" s="25"/>
      <c r="E90" s="25"/>
      <c r="F90" s="26"/>
      <c r="G90" s="26"/>
      <c r="H90" s="26"/>
      <c r="I90" s="116"/>
      <c r="J90" s="116"/>
      <c r="K90" s="26"/>
      <c r="L90" s="26"/>
      <c r="M90" s="26"/>
      <c r="N90" s="26"/>
      <c r="O90" s="26"/>
      <c r="P90" s="26"/>
      <c r="Q90" s="26"/>
      <c r="R90" s="26"/>
    </row>
    <row r="91" spans="2:18" x14ac:dyDescent="0.3">
      <c r="B91" s="25"/>
      <c r="C91" s="25"/>
      <c r="D91" s="25"/>
      <c r="E91" s="25"/>
      <c r="F91" s="26"/>
      <c r="G91" s="26"/>
      <c r="H91" s="26"/>
      <c r="I91" s="116"/>
      <c r="J91" s="116"/>
      <c r="K91" s="26"/>
      <c r="L91" s="26"/>
      <c r="M91" s="26"/>
      <c r="N91" s="26"/>
      <c r="O91" s="26"/>
      <c r="P91" s="26"/>
      <c r="Q91" s="26"/>
      <c r="R91" s="26"/>
    </row>
    <row r="92" spans="2:18" x14ac:dyDescent="0.3">
      <c r="B92" s="25"/>
      <c r="C92" s="25"/>
      <c r="D92" s="25"/>
      <c r="E92" s="25"/>
      <c r="F92" s="26"/>
      <c r="G92" s="26"/>
      <c r="H92" s="26"/>
      <c r="I92" s="116"/>
      <c r="J92" s="116"/>
      <c r="K92" s="26"/>
      <c r="L92" s="26"/>
      <c r="M92" s="26"/>
      <c r="N92" s="26"/>
      <c r="O92" s="26"/>
      <c r="P92" s="26"/>
      <c r="Q92" s="26"/>
      <c r="R92" s="26"/>
    </row>
    <row r="93" spans="2:18" x14ac:dyDescent="0.3">
      <c r="B93" s="25"/>
      <c r="C93" s="25"/>
      <c r="D93" s="25"/>
      <c r="E93" s="25"/>
      <c r="F93" s="26"/>
      <c r="G93" s="26"/>
      <c r="H93" s="26"/>
      <c r="I93" s="116"/>
      <c r="J93" s="116"/>
      <c r="K93" s="26"/>
      <c r="L93" s="26"/>
      <c r="M93" s="26"/>
      <c r="N93" s="26"/>
      <c r="O93" s="26"/>
      <c r="P93" s="26"/>
      <c r="Q93" s="26"/>
      <c r="R93" s="26"/>
    </row>
    <row r="94" spans="2:18" x14ac:dyDescent="0.3">
      <c r="B94" s="25"/>
      <c r="C94" s="25"/>
      <c r="D94" s="25"/>
      <c r="E94" s="25"/>
      <c r="F94" s="26"/>
      <c r="G94" s="26"/>
      <c r="H94" s="26"/>
      <c r="I94" s="116"/>
      <c r="J94" s="116"/>
      <c r="K94" s="26"/>
      <c r="L94" s="26"/>
      <c r="M94" s="26"/>
      <c r="N94" s="26"/>
      <c r="O94" s="26"/>
      <c r="P94" s="26"/>
      <c r="Q94" s="26"/>
      <c r="R94" s="26"/>
    </row>
    <row r="95" spans="2:18" x14ac:dyDescent="0.3">
      <c r="B95" s="25"/>
      <c r="C95" s="25"/>
      <c r="D95" s="25"/>
      <c r="E95" s="25"/>
      <c r="F95" s="26"/>
      <c r="G95" s="26"/>
      <c r="H95" s="26"/>
      <c r="I95" s="116"/>
      <c r="J95" s="116"/>
      <c r="K95" s="26"/>
      <c r="L95" s="26"/>
      <c r="M95" s="26"/>
      <c r="N95" s="26"/>
      <c r="O95" s="26"/>
      <c r="P95" s="26"/>
      <c r="Q95" s="26"/>
      <c r="R95" s="26"/>
    </row>
    <row r="96" spans="2:18" x14ac:dyDescent="0.3">
      <c r="B96" s="25"/>
      <c r="C96" s="25"/>
      <c r="D96" s="25"/>
      <c r="E96" s="25"/>
      <c r="F96" s="26"/>
      <c r="G96" s="26"/>
      <c r="H96" s="26"/>
      <c r="I96" s="116"/>
      <c r="J96" s="116"/>
      <c r="K96" s="26"/>
      <c r="L96" s="26"/>
      <c r="M96" s="26"/>
      <c r="N96" s="26"/>
      <c r="O96" s="26"/>
      <c r="P96" s="26"/>
      <c r="Q96" s="26"/>
      <c r="R96" s="26"/>
    </row>
    <row r="97" spans="2:18" x14ac:dyDescent="0.3">
      <c r="B97" s="25"/>
      <c r="C97" s="25"/>
      <c r="D97" s="25"/>
      <c r="E97" s="25"/>
      <c r="F97" s="26"/>
      <c r="G97" s="26"/>
      <c r="H97" s="26"/>
      <c r="I97" s="116"/>
      <c r="J97" s="116"/>
      <c r="K97" s="26"/>
      <c r="L97" s="26"/>
      <c r="M97" s="26"/>
      <c r="N97" s="26"/>
      <c r="O97" s="26"/>
      <c r="P97" s="26"/>
      <c r="Q97" s="26"/>
      <c r="R97" s="26"/>
    </row>
    <row r="98" spans="2:18" x14ac:dyDescent="0.3">
      <c r="B98" s="25"/>
      <c r="C98" s="25"/>
      <c r="D98" s="25"/>
      <c r="E98" s="25"/>
      <c r="F98" s="26"/>
      <c r="G98" s="26"/>
      <c r="H98" s="26"/>
      <c r="I98" s="116"/>
      <c r="J98" s="116"/>
      <c r="K98" s="26"/>
      <c r="L98" s="26"/>
      <c r="M98" s="26"/>
      <c r="N98" s="26"/>
      <c r="O98" s="26"/>
      <c r="P98" s="26"/>
      <c r="Q98" s="26"/>
      <c r="R98" s="26"/>
    </row>
    <row r="99" spans="2:18" x14ac:dyDescent="0.3">
      <c r="B99" s="25"/>
      <c r="C99" s="25"/>
      <c r="D99" s="25"/>
      <c r="E99" s="25"/>
      <c r="F99" s="26"/>
      <c r="G99" s="26"/>
      <c r="H99" s="26"/>
      <c r="I99" s="116"/>
      <c r="J99" s="116"/>
      <c r="K99" s="26"/>
      <c r="L99" s="26"/>
      <c r="M99" s="26"/>
      <c r="N99" s="26"/>
      <c r="O99" s="26"/>
      <c r="P99" s="26"/>
      <c r="Q99" s="26"/>
      <c r="R99" s="26"/>
    </row>
    <row r="100" spans="2:18" x14ac:dyDescent="0.3">
      <c r="B100" s="25"/>
      <c r="C100" s="25"/>
      <c r="D100" s="25"/>
      <c r="E100" s="25"/>
      <c r="F100" s="26"/>
      <c r="G100" s="26"/>
      <c r="H100" s="26"/>
      <c r="I100" s="116"/>
      <c r="J100" s="116"/>
      <c r="K100" s="26"/>
      <c r="L100" s="26"/>
      <c r="M100" s="26"/>
      <c r="N100" s="26"/>
      <c r="O100" s="26"/>
      <c r="P100" s="26"/>
      <c r="Q100" s="26"/>
      <c r="R100" s="26"/>
    </row>
    <row r="101" spans="2:18" x14ac:dyDescent="0.3">
      <c r="B101" s="25"/>
      <c r="C101" s="25"/>
      <c r="D101" s="25"/>
      <c r="E101" s="25"/>
      <c r="F101" s="26"/>
      <c r="G101" s="26"/>
      <c r="H101" s="26"/>
      <c r="I101" s="116"/>
      <c r="J101" s="116"/>
      <c r="K101" s="26"/>
      <c r="L101" s="26"/>
      <c r="M101" s="26"/>
      <c r="N101" s="26"/>
      <c r="O101" s="26"/>
      <c r="P101" s="26"/>
      <c r="Q101" s="26"/>
      <c r="R101" s="26"/>
    </row>
    <row r="102" spans="2:18" x14ac:dyDescent="0.3">
      <c r="B102" s="25"/>
      <c r="C102" s="25"/>
      <c r="D102" s="25"/>
      <c r="E102" s="25"/>
      <c r="F102" s="26"/>
      <c r="G102" s="26"/>
      <c r="H102" s="26"/>
      <c r="I102" s="116"/>
      <c r="J102" s="116"/>
      <c r="K102" s="26"/>
      <c r="L102" s="26"/>
      <c r="M102" s="26"/>
      <c r="N102" s="26"/>
      <c r="O102" s="26"/>
      <c r="P102" s="26"/>
      <c r="Q102" s="26"/>
      <c r="R102" s="26"/>
    </row>
    <row r="103" spans="2:18" x14ac:dyDescent="0.3">
      <c r="B103" s="25"/>
      <c r="C103" s="25"/>
      <c r="D103" s="25"/>
      <c r="E103" s="25"/>
      <c r="F103" s="26"/>
      <c r="G103" s="26"/>
      <c r="H103" s="26"/>
      <c r="I103" s="116"/>
      <c r="J103" s="116"/>
      <c r="K103" s="26"/>
      <c r="L103" s="26"/>
      <c r="M103" s="26"/>
      <c r="N103" s="26"/>
      <c r="O103" s="26"/>
      <c r="P103" s="26"/>
      <c r="Q103" s="26"/>
      <c r="R103" s="26"/>
    </row>
    <row r="104" spans="2:18" x14ac:dyDescent="0.3">
      <c r="B104" s="25"/>
      <c r="C104" s="25"/>
      <c r="D104" s="25"/>
      <c r="E104" s="25"/>
      <c r="F104" s="26"/>
      <c r="G104" s="26"/>
      <c r="H104" s="26"/>
      <c r="I104" s="116"/>
      <c r="J104" s="116"/>
      <c r="K104" s="26"/>
      <c r="L104" s="26"/>
      <c r="M104" s="26"/>
      <c r="N104" s="26"/>
      <c r="O104" s="26"/>
      <c r="P104" s="26"/>
      <c r="Q104" s="26"/>
      <c r="R104" s="26"/>
    </row>
    <row r="105" spans="2:18" x14ac:dyDescent="0.3">
      <c r="B105" s="25"/>
      <c r="C105" s="25"/>
      <c r="D105" s="25"/>
      <c r="E105" s="25"/>
      <c r="F105" s="26"/>
      <c r="G105" s="26"/>
      <c r="H105" s="26"/>
      <c r="I105" s="116"/>
      <c r="J105" s="116"/>
      <c r="K105" s="26"/>
      <c r="L105" s="26"/>
      <c r="M105" s="26"/>
      <c r="N105" s="26"/>
      <c r="O105" s="26"/>
      <c r="P105" s="26"/>
      <c r="Q105" s="26"/>
      <c r="R105" s="26"/>
    </row>
    <row r="106" spans="2:18" x14ac:dyDescent="0.3">
      <c r="B106" s="25"/>
      <c r="C106" s="25"/>
      <c r="D106" s="25"/>
      <c r="E106" s="25"/>
      <c r="F106" s="26"/>
      <c r="G106" s="26"/>
      <c r="H106" s="26"/>
      <c r="I106" s="116"/>
      <c r="J106" s="116"/>
      <c r="K106" s="26"/>
      <c r="L106" s="26"/>
      <c r="M106" s="26"/>
      <c r="N106" s="26"/>
      <c r="O106" s="26"/>
      <c r="P106" s="26"/>
      <c r="Q106" s="26"/>
      <c r="R106" s="26"/>
    </row>
    <row r="107" spans="2:18" x14ac:dyDescent="0.3">
      <c r="B107" s="25"/>
      <c r="C107" s="25"/>
      <c r="D107" s="25"/>
      <c r="E107" s="25"/>
      <c r="F107" s="26"/>
      <c r="G107" s="26"/>
      <c r="H107" s="26"/>
      <c r="I107" s="116"/>
      <c r="J107" s="116"/>
      <c r="K107" s="26"/>
      <c r="L107" s="26"/>
      <c r="M107" s="26"/>
      <c r="N107" s="26"/>
      <c r="O107" s="26"/>
      <c r="P107" s="26"/>
      <c r="Q107" s="26"/>
      <c r="R107" s="26"/>
    </row>
    <row r="108" spans="2:18" x14ac:dyDescent="0.3">
      <c r="B108" s="25"/>
      <c r="C108" s="25"/>
      <c r="D108" s="25"/>
      <c r="E108" s="25"/>
      <c r="F108" s="26"/>
      <c r="G108" s="26"/>
      <c r="H108" s="26"/>
      <c r="I108" s="116"/>
      <c r="J108" s="116"/>
      <c r="K108" s="26"/>
      <c r="L108" s="26"/>
      <c r="M108" s="26"/>
      <c r="N108" s="26"/>
      <c r="O108" s="26"/>
      <c r="P108" s="26"/>
      <c r="Q108" s="26"/>
      <c r="R108" s="26"/>
    </row>
    <row r="109" spans="2:18" x14ac:dyDescent="0.3">
      <c r="B109" s="25"/>
      <c r="C109" s="25"/>
      <c r="D109" s="25"/>
      <c r="E109" s="25"/>
      <c r="F109" s="26"/>
      <c r="G109" s="26"/>
      <c r="H109" s="26"/>
      <c r="I109" s="116"/>
      <c r="J109" s="116"/>
      <c r="K109" s="26"/>
      <c r="L109" s="26"/>
      <c r="M109" s="26"/>
      <c r="N109" s="26"/>
      <c r="O109" s="26"/>
      <c r="P109" s="26"/>
      <c r="Q109" s="26"/>
      <c r="R109" s="26"/>
    </row>
    <row r="110" spans="2:18" x14ac:dyDescent="0.3">
      <c r="B110" s="25"/>
      <c r="C110" s="25"/>
      <c r="D110" s="25"/>
      <c r="E110" s="25"/>
      <c r="F110" s="26"/>
      <c r="G110" s="26"/>
      <c r="H110" s="26"/>
      <c r="I110" s="116"/>
      <c r="J110" s="116"/>
      <c r="K110" s="26"/>
      <c r="L110" s="26"/>
      <c r="M110" s="26"/>
      <c r="N110" s="26"/>
      <c r="O110" s="26"/>
      <c r="P110" s="26"/>
      <c r="Q110" s="26"/>
      <c r="R110" s="26"/>
    </row>
    <row r="111" spans="2:18" x14ac:dyDescent="0.3">
      <c r="B111" s="25"/>
      <c r="C111" s="25"/>
      <c r="D111" s="25"/>
      <c r="E111" s="25"/>
      <c r="F111" s="26"/>
      <c r="G111" s="26"/>
      <c r="H111" s="26"/>
      <c r="I111" s="116"/>
      <c r="J111" s="116"/>
      <c r="K111" s="26"/>
      <c r="L111" s="26"/>
      <c r="M111" s="26"/>
      <c r="N111" s="26"/>
      <c r="O111" s="26"/>
      <c r="P111" s="26"/>
      <c r="Q111" s="26"/>
      <c r="R111" s="26"/>
    </row>
    <row r="112" spans="2:18" x14ac:dyDescent="0.3">
      <c r="B112" s="25"/>
      <c r="C112" s="25"/>
      <c r="D112" s="25"/>
      <c r="E112" s="25"/>
      <c r="F112" s="26"/>
      <c r="G112" s="26"/>
      <c r="H112" s="26"/>
      <c r="I112" s="116"/>
      <c r="J112" s="116"/>
      <c r="K112" s="26"/>
      <c r="L112" s="26"/>
      <c r="M112" s="26"/>
      <c r="N112" s="26"/>
      <c r="O112" s="26"/>
      <c r="P112" s="26"/>
      <c r="Q112" s="26"/>
      <c r="R112" s="26"/>
    </row>
    <row r="113" spans="2:18" x14ac:dyDescent="0.3">
      <c r="B113" s="25"/>
      <c r="C113" s="25"/>
      <c r="D113" s="25"/>
      <c r="E113" s="25"/>
      <c r="F113" s="26"/>
      <c r="G113" s="26"/>
      <c r="H113" s="26"/>
      <c r="I113" s="116"/>
      <c r="J113" s="116"/>
      <c r="K113" s="26"/>
      <c r="L113" s="26"/>
      <c r="M113" s="26"/>
      <c r="N113" s="26"/>
      <c r="O113" s="26"/>
      <c r="P113" s="26"/>
      <c r="Q113" s="26"/>
      <c r="R113" s="26"/>
    </row>
    <row r="114" spans="2:18" x14ac:dyDescent="0.3">
      <c r="B114" s="25"/>
      <c r="C114" s="25"/>
      <c r="D114" s="25"/>
      <c r="E114" s="25"/>
      <c r="F114" s="26"/>
      <c r="G114" s="26"/>
      <c r="H114" s="26"/>
      <c r="I114" s="116"/>
      <c r="J114" s="116"/>
      <c r="K114" s="26"/>
      <c r="L114" s="26"/>
      <c r="M114" s="26"/>
      <c r="N114" s="26"/>
      <c r="O114" s="26"/>
      <c r="P114" s="26"/>
      <c r="Q114" s="26"/>
      <c r="R114" s="26"/>
    </row>
    <row r="115" spans="2:18" x14ac:dyDescent="0.3">
      <c r="B115" s="25"/>
      <c r="C115" s="25"/>
      <c r="D115" s="25"/>
      <c r="E115" s="25"/>
      <c r="F115" s="26"/>
      <c r="G115" s="26"/>
      <c r="H115" s="26"/>
      <c r="I115" s="116"/>
      <c r="J115" s="116"/>
      <c r="K115" s="26"/>
      <c r="L115" s="26"/>
      <c r="M115" s="26"/>
      <c r="N115" s="26"/>
      <c r="O115" s="26"/>
      <c r="P115" s="26"/>
      <c r="Q115" s="26"/>
      <c r="R115" s="26"/>
    </row>
    <row r="116" spans="2:18" x14ac:dyDescent="0.3">
      <c r="B116" s="25"/>
      <c r="C116" s="25"/>
      <c r="D116" s="25"/>
      <c r="E116" s="25"/>
      <c r="F116" s="26"/>
      <c r="G116" s="26"/>
      <c r="H116" s="26"/>
      <c r="I116" s="116"/>
      <c r="J116" s="116"/>
      <c r="K116" s="26"/>
      <c r="L116" s="26"/>
      <c r="M116" s="26"/>
      <c r="N116" s="26"/>
      <c r="O116" s="26"/>
      <c r="P116" s="26"/>
      <c r="Q116" s="26"/>
      <c r="R116" s="26"/>
    </row>
    <row r="117" spans="2:18" x14ac:dyDescent="0.3">
      <c r="B117" s="25"/>
      <c r="C117" s="25"/>
      <c r="D117" s="25"/>
      <c r="E117" s="25"/>
      <c r="F117" s="26"/>
      <c r="G117" s="26"/>
      <c r="H117" s="26"/>
      <c r="I117" s="116"/>
      <c r="J117" s="116"/>
      <c r="K117" s="26"/>
      <c r="L117" s="26"/>
      <c r="M117" s="26"/>
      <c r="N117" s="26"/>
      <c r="O117" s="26"/>
      <c r="P117" s="26"/>
      <c r="Q117" s="26"/>
      <c r="R117" s="26"/>
    </row>
    <row r="118" spans="2:18" x14ac:dyDescent="0.3">
      <c r="B118" s="25"/>
      <c r="C118" s="25"/>
      <c r="D118" s="25"/>
      <c r="E118" s="25"/>
      <c r="F118" s="26"/>
      <c r="G118" s="26"/>
      <c r="H118" s="26"/>
      <c r="I118" s="116"/>
      <c r="J118" s="116"/>
      <c r="K118" s="26"/>
      <c r="L118" s="26"/>
      <c r="M118" s="26"/>
      <c r="N118" s="26"/>
      <c r="O118" s="26"/>
      <c r="P118" s="26"/>
      <c r="Q118" s="26"/>
      <c r="R118" s="26"/>
    </row>
    <row r="119" spans="2:18" x14ac:dyDescent="0.3">
      <c r="B119" s="25"/>
      <c r="C119" s="25"/>
      <c r="D119" s="25"/>
      <c r="E119" s="25"/>
      <c r="F119" s="26"/>
      <c r="G119" s="26"/>
      <c r="H119" s="26"/>
      <c r="I119" s="116"/>
      <c r="J119" s="116"/>
      <c r="K119" s="26"/>
      <c r="L119" s="26"/>
      <c r="M119" s="26"/>
      <c r="N119" s="26"/>
      <c r="O119" s="26"/>
      <c r="P119" s="26"/>
      <c r="Q119" s="26"/>
      <c r="R119" s="26"/>
    </row>
    <row r="120" spans="2:18" x14ac:dyDescent="0.3">
      <c r="B120" s="25"/>
      <c r="C120" s="25"/>
      <c r="D120" s="25"/>
      <c r="E120" s="25"/>
      <c r="F120" s="26"/>
      <c r="G120" s="26"/>
      <c r="H120" s="26"/>
      <c r="I120" s="116"/>
      <c r="J120" s="116"/>
      <c r="K120" s="26"/>
      <c r="L120" s="26"/>
      <c r="M120" s="26"/>
      <c r="N120" s="26"/>
      <c r="O120" s="26"/>
      <c r="P120" s="26"/>
      <c r="Q120" s="26"/>
      <c r="R120" s="26"/>
    </row>
    <row r="121" spans="2:18" x14ac:dyDescent="0.3">
      <c r="B121" s="25"/>
      <c r="C121" s="25"/>
      <c r="D121" s="25"/>
      <c r="E121" s="25"/>
      <c r="F121" s="26"/>
      <c r="G121" s="26"/>
      <c r="H121" s="26"/>
      <c r="I121" s="116"/>
      <c r="J121" s="116"/>
      <c r="K121" s="26"/>
      <c r="L121" s="26"/>
      <c r="M121" s="26"/>
      <c r="N121" s="26"/>
      <c r="O121" s="26"/>
      <c r="P121" s="26"/>
      <c r="Q121" s="26"/>
      <c r="R121" s="26"/>
    </row>
    <row r="122" spans="2:18" x14ac:dyDescent="0.3">
      <c r="B122" s="25"/>
      <c r="C122" s="25"/>
      <c r="D122" s="25"/>
      <c r="E122" s="25"/>
      <c r="F122" s="26"/>
      <c r="G122" s="26"/>
      <c r="H122" s="26"/>
      <c r="I122" s="116"/>
      <c r="J122" s="116"/>
      <c r="K122" s="26"/>
      <c r="L122" s="26"/>
      <c r="M122" s="26"/>
      <c r="N122" s="26"/>
      <c r="O122" s="26"/>
      <c r="P122" s="26"/>
      <c r="Q122" s="26"/>
      <c r="R122" s="26"/>
    </row>
    <row r="123" spans="2:18" x14ac:dyDescent="0.3">
      <c r="B123" s="25"/>
      <c r="C123" s="25"/>
      <c r="D123" s="25"/>
      <c r="E123" s="25"/>
      <c r="F123" s="26"/>
      <c r="G123" s="26"/>
      <c r="H123" s="26"/>
      <c r="I123" s="116"/>
      <c r="J123" s="116"/>
      <c r="K123" s="26"/>
      <c r="L123" s="26"/>
      <c r="M123" s="26"/>
      <c r="N123" s="26"/>
      <c r="O123" s="26"/>
      <c r="P123" s="26"/>
      <c r="Q123" s="26"/>
      <c r="R123" s="26"/>
    </row>
    <row r="124" spans="2:18" x14ac:dyDescent="0.3">
      <c r="B124" s="25"/>
      <c r="C124" s="25"/>
      <c r="D124" s="25"/>
      <c r="E124" s="25"/>
      <c r="F124" s="26"/>
      <c r="G124" s="26"/>
      <c r="H124" s="26"/>
      <c r="I124" s="116"/>
      <c r="J124" s="116"/>
      <c r="K124" s="26"/>
      <c r="L124" s="26"/>
      <c r="M124" s="26"/>
      <c r="N124" s="26"/>
      <c r="O124" s="26"/>
      <c r="P124" s="26"/>
      <c r="Q124" s="26"/>
      <c r="R124" s="26"/>
    </row>
    <row r="125" spans="2:18" x14ac:dyDescent="0.3">
      <c r="B125" s="25"/>
      <c r="C125" s="25"/>
      <c r="D125" s="25"/>
      <c r="E125" s="25"/>
      <c r="F125" s="26"/>
      <c r="G125" s="26"/>
      <c r="H125" s="26"/>
      <c r="I125" s="116"/>
      <c r="J125" s="116"/>
      <c r="K125" s="26"/>
      <c r="L125" s="26"/>
      <c r="M125" s="26"/>
      <c r="N125" s="26"/>
      <c r="O125" s="26"/>
      <c r="P125" s="26"/>
      <c r="Q125" s="26"/>
      <c r="R125" s="26"/>
    </row>
    <row r="126" spans="2:18" x14ac:dyDescent="0.3">
      <c r="B126" s="25"/>
      <c r="C126" s="25"/>
      <c r="D126" s="25"/>
      <c r="E126" s="25"/>
      <c r="F126" s="26"/>
      <c r="G126" s="26"/>
      <c r="H126" s="26"/>
      <c r="I126" s="116"/>
      <c r="J126" s="116"/>
      <c r="K126" s="26"/>
      <c r="L126" s="26"/>
      <c r="M126" s="26"/>
      <c r="N126" s="26"/>
      <c r="O126" s="26"/>
      <c r="P126" s="26"/>
      <c r="Q126" s="26"/>
      <c r="R126" s="26"/>
    </row>
    <row r="127" spans="2:18" x14ac:dyDescent="0.3">
      <c r="B127" s="25"/>
      <c r="C127" s="25"/>
      <c r="D127" s="25"/>
      <c r="E127" s="25"/>
      <c r="F127" s="26"/>
      <c r="G127" s="26"/>
      <c r="H127" s="26"/>
      <c r="I127" s="116"/>
      <c r="J127" s="116"/>
      <c r="K127" s="26"/>
      <c r="L127" s="26"/>
      <c r="M127" s="26"/>
      <c r="N127" s="26"/>
      <c r="O127" s="26"/>
      <c r="P127" s="26"/>
      <c r="Q127" s="26"/>
      <c r="R127" s="26"/>
    </row>
    <row r="128" spans="2:18" x14ac:dyDescent="0.3">
      <c r="B128" s="25"/>
      <c r="C128" s="25"/>
      <c r="D128" s="25"/>
      <c r="E128" s="25"/>
      <c r="F128" s="26"/>
      <c r="G128" s="26"/>
      <c r="H128" s="26"/>
      <c r="I128" s="116"/>
      <c r="J128" s="116"/>
      <c r="K128" s="26"/>
      <c r="L128" s="26"/>
      <c r="M128" s="26"/>
      <c r="N128" s="26"/>
      <c r="O128" s="26"/>
      <c r="P128" s="26"/>
      <c r="Q128" s="26"/>
      <c r="R128" s="26"/>
    </row>
    <row r="129" spans="2:18" x14ac:dyDescent="0.3">
      <c r="B129" s="25"/>
      <c r="C129" s="25"/>
      <c r="D129" s="25"/>
      <c r="E129" s="25"/>
      <c r="F129" s="26"/>
      <c r="G129" s="26"/>
      <c r="H129" s="26"/>
      <c r="I129" s="116"/>
      <c r="J129" s="116"/>
      <c r="K129" s="26"/>
      <c r="L129" s="26"/>
      <c r="M129" s="26"/>
      <c r="N129" s="26"/>
      <c r="O129" s="26"/>
      <c r="P129" s="26"/>
      <c r="Q129" s="26"/>
      <c r="R129" s="26"/>
    </row>
    <row r="130" spans="2:18" x14ac:dyDescent="0.3">
      <c r="B130" s="25"/>
      <c r="C130" s="25"/>
      <c r="D130" s="25"/>
      <c r="E130" s="25"/>
      <c r="F130" s="26"/>
      <c r="G130" s="26"/>
      <c r="H130" s="26"/>
      <c r="I130" s="116"/>
      <c r="J130" s="116"/>
      <c r="K130" s="26"/>
      <c r="L130" s="26"/>
      <c r="M130" s="26"/>
      <c r="N130" s="26"/>
      <c r="O130" s="26"/>
      <c r="P130" s="26"/>
      <c r="Q130" s="26"/>
      <c r="R130" s="26"/>
    </row>
    <row r="131" spans="2:18" x14ac:dyDescent="0.3">
      <c r="B131" s="25"/>
      <c r="C131" s="25"/>
      <c r="D131" s="25"/>
      <c r="E131" s="25"/>
      <c r="F131" s="26"/>
      <c r="G131" s="26"/>
      <c r="H131" s="26"/>
      <c r="I131" s="116"/>
      <c r="J131" s="116"/>
      <c r="K131" s="26"/>
      <c r="L131" s="26"/>
      <c r="M131" s="26"/>
      <c r="N131" s="26"/>
      <c r="O131" s="26"/>
      <c r="P131" s="26"/>
      <c r="Q131" s="26"/>
      <c r="R131" s="26"/>
    </row>
    <row r="132" spans="2:18" x14ac:dyDescent="0.3">
      <c r="B132" s="25"/>
      <c r="C132" s="25"/>
      <c r="D132" s="25"/>
      <c r="E132" s="25"/>
      <c r="F132" s="26"/>
      <c r="G132" s="26"/>
      <c r="H132" s="26"/>
      <c r="I132" s="116"/>
      <c r="J132" s="116"/>
      <c r="K132" s="26"/>
      <c r="L132" s="26"/>
      <c r="M132" s="26"/>
      <c r="N132" s="26"/>
      <c r="O132" s="26"/>
      <c r="P132" s="26"/>
      <c r="Q132" s="26"/>
      <c r="R132" s="26"/>
    </row>
    <row r="133" spans="2:18" x14ac:dyDescent="0.3">
      <c r="B133" s="25"/>
      <c r="C133" s="25"/>
      <c r="D133" s="25"/>
      <c r="E133" s="25"/>
      <c r="F133" s="26"/>
      <c r="G133" s="26"/>
      <c r="H133" s="26"/>
      <c r="I133" s="116"/>
      <c r="J133" s="116"/>
      <c r="K133" s="26"/>
      <c r="L133" s="26"/>
      <c r="M133" s="26"/>
      <c r="N133" s="26"/>
      <c r="O133" s="26"/>
      <c r="P133" s="26"/>
      <c r="Q133" s="26"/>
      <c r="R133" s="26"/>
    </row>
    <row r="134" spans="2:18" x14ac:dyDescent="0.3">
      <c r="B134" s="25"/>
      <c r="C134" s="25"/>
      <c r="D134" s="25"/>
      <c r="E134" s="25"/>
      <c r="F134" s="26"/>
      <c r="G134" s="26"/>
      <c r="H134" s="26"/>
      <c r="I134" s="116"/>
      <c r="J134" s="116"/>
      <c r="K134" s="26"/>
      <c r="L134" s="26"/>
      <c r="M134" s="26"/>
      <c r="N134" s="26"/>
      <c r="O134" s="26"/>
      <c r="P134" s="26"/>
      <c r="Q134" s="26"/>
      <c r="R134" s="26"/>
    </row>
    <row r="135" spans="2:18" x14ac:dyDescent="0.3">
      <c r="B135" s="25"/>
      <c r="C135" s="25"/>
      <c r="D135" s="25"/>
      <c r="E135" s="25"/>
      <c r="F135" s="26"/>
      <c r="G135" s="26"/>
      <c r="H135" s="26"/>
      <c r="I135" s="116"/>
      <c r="J135" s="116"/>
      <c r="K135" s="26"/>
      <c r="L135" s="26"/>
      <c r="M135" s="26"/>
      <c r="N135" s="26"/>
      <c r="O135" s="26"/>
      <c r="P135" s="26"/>
      <c r="Q135" s="26"/>
      <c r="R135" s="26"/>
    </row>
    <row r="136" spans="2:18" x14ac:dyDescent="0.3">
      <c r="B136" s="25"/>
      <c r="C136" s="25"/>
      <c r="D136" s="25"/>
      <c r="E136" s="25"/>
      <c r="F136" s="26"/>
      <c r="G136" s="26"/>
      <c r="H136" s="26"/>
      <c r="I136" s="116"/>
      <c r="J136" s="116"/>
      <c r="K136" s="26"/>
      <c r="L136" s="26"/>
      <c r="M136" s="26"/>
      <c r="N136" s="26"/>
      <c r="O136" s="26"/>
      <c r="P136" s="26"/>
      <c r="Q136" s="26"/>
      <c r="R136" s="26"/>
    </row>
    <row r="137" spans="2:18" x14ac:dyDescent="0.3">
      <c r="B137" s="25"/>
      <c r="C137" s="25"/>
      <c r="D137" s="25"/>
      <c r="E137" s="25"/>
      <c r="F137" s="26"/>
      <c r="G137" s="26"/>
      <c r="H137" s="26"/>
      <c r="I137" s="116"/>
      <c r="J137" s="116"/>
      <c r="K137" s="26"/>
      <c r="L137" s="26"/>
      <c r="M137" s="26"/>
      <c r="N137" s="26"/>
      <c r="O137" s="26"/>
      <c r="P137" s="26"/>
      <c r="Q137" s="26"/>
      <c r="R137" s="26"/>
    </row>
    <row r="138" spans="2:18" x14ac:dyDescent="0.3">
      <c r="B138" s="25"/>
      <c r="C138" s="25"/>
      <c r="D138" s="25"/>
      <c r="E138" s="25"/>
      <c r="F138" s="26"/>
      <c r="G138" s="26"/>
      <c r="H138" s="26"/>
      <c r="I138" s="116"/>
      <c r="J138" s="116"/>
      <c r="K138" s="26"/>
      <c r="L138" s="26"/>
      <c r="M138" s="26"/>
      <c r="N138" s="26"/>
      <c r="O138" s="26"/>
      <c r="P138" s="26"/>
      <c r="Q138" s="26"/>
      <c r="R138" s="26"/>
    </row>
    <row r="139" spans="2:18" x14ac:dyDescent="0.3">
      <c r="B139" s="25"/>
      <c r="C139" s="25"/>
      <c r="D139" s="25"/>
      <c r="E139" s="25"/>
      <c r="F139" s="26"/>
      <c r="G139" s="26"/>
      <c r="H139" s="26"/>
      <c r="I139" s="116"/>
      <c r="J139" s="116"/>
      <c r="K139" s="26"/>
      <c r="L139" s="26"/>
      <c r="M139" s="26"/>
      <c r="N139" s="26"/>
      <c r="O139" s="26"/>
      <c r="P139" s="26"/>
      <c r="Q139" s="26"/>
      <c r="R139" s="26"/>
    </row>
    <row r="140" spans="2:18" x14ac:dyDescent="0.3">
      <c r="B140" s="25"/>
      <c r="C140" s="25"/>
      <c r="D140" s="25"/>
      <c r="E140" s="25"/>
      <c r="F140" s="26"/>
      <c r="G140" s="26"/>
      <c r="H140" s="26"/>
      <c r="I140" s="116"/>
      <c r="J140" s="116"/>
      <c r="K140" s="26"/>
      <c r="L140" s="26"/>
      <c r="M140" s="26"/>
      <c r="N140" s="26"/>
      <c r="O140" s="26"/>
      <c r="P140" s="26"/>
      <c r="Q140" s="26"/>
      <c r="R140" s="26"/>
    </row>
    <row r="141" spans="2:18" x14ac:dyDescent="0.3">
      <c r="B141" s="25"/>
      <c r="C141" s="25"/>
      <c r="D141" s="25"/>
      <c r="E141" s="25"/>
      <c r="F141" s="26"/>
      <c r="G141" s="26"/>
      <c r="H141" s="26"/>
      <c r="I141" s="116"/>
      <c r="J141" s="116"/>
      <c r="K141" s="26"/>
      <c r="L141" s="26"/>
      <c r="M141" s="26"/>
      <c r="N141" s="26"/>
      <c r="O141" s="26"/>
      <c r="P141" s="26"/>
      <c r="Q141" s="26"/>
      <c r="R141" s="26"/>
    </row>
    <row r="142" spans="2:18" x14ac:dyDescent="0.3">
      <c r="B142" s="25"/>
      <c r="C142" s="25"/>
      <c r="D142" s="25"/>
      <c r="E142" s="25"/>
      <c r="F142" s="26"/>
      <c r="G142" s="26"/>
      <c r="H142" s="26"/>
      <c r="I142" s="116"/>
      <c r="J142" s="116"/>
      <c r="K142" s="26"/>
      <c r="L142" s="26"/>
      <c r="M142" s="26"/>
      <c r="N142" s="26"/>
      <c r="O142" s="26"/>
      <c r="P142" s="26"/>
      <c r="Q142" s="26"/>
      <c r="R142" s="26"/>
    </row>
    <row r="143" spans="2:18" x14ac:dyDescent="0.3">
      <c r="B143" s="25"/>
      <c r="C143" s="25"/>
      <c r="D143" s="25"/>
      <c r="E143" s="25"/>
      <c r="F143" s="26"/>
      <c r="G143" s="26"/>
      <c r="H143" s="26"/>
      <c r="I143" s="116"/>
      <c r="J143" s="116"/>
      <c r="K143" s="26"/>
      <c r="L143" s="26"/>
      <c r="M143" s="26"/>
      <c r="N143" s="26"/>
      <c r="O143" s="26"/>
      <c r="P143" s="26"/>
      <c r="Q143" s="26"/>
      <c r="R143" s="26"/>
    </row>
    <row r="144" spans="2:18" x14ac:dyDescent="0.3">
      <c r="B144" s="25"/>
      <c r="C144" s="25"/>
      <c r="D144" s="25"/>
      <c r="E144" s="25"/>
      <c r="F144" s="26"/>
      <c r="G144" s="26"/>
      <c r="H144" s="26"/>
      <c r="I144" s="116"/>
      <c r="J144" s="116"/>
      <c r="K144" s="26"/>
      <c r="L144" s="26"/>
      <c r="M144" s="26"/>
      <c r="N144" s="26"/>
      <c r="O144" s="26"/>
      <c r="P144" s="26"/>
      <c r="Q144" s="26"/>
      <c r="R144" s="26"/>
    </row>
    <row r="145" spans="2:18" x14ac:dyDescent="0.3">
      <c r="B145" s="25"/>
      <c r="C145" s="25"/>
      <c r="D145" s="25"/>
      <c r="E145" s="25"/>
      <c r="F145" s="26"/>
      <c r="G145" s="26"/>
      <c r="H145" s="26"/>
      <c r="I145" s="116"/>
      <c r="J145" s="116"/>
      <c r="K145" s="26"/>
      <c r="L145" s="26"/>
      <c r="M145" s="26"/>
      <c r="N145" s="26"/>
      <c r="O145" s="26"/>
      <c r="P145" s="26"/>
      <c r="Q145" s="26"/>
      <c r="R145" s="26"/>
    </row>
    <row r="146" spans="2:18" x14ac:dyDescent="0.3">
      <c r="B146" s="25"/>
      <c r="C146" s="25"/>
      <c r="D146" s="25"/>
      <c r="E146" s="25"/>
      <c r="F146" s="26"/>
      <c r="G146" s="26"/>
      <c r="H146" s="26"/>
      <c r="I146" s="116"/>
      <c r="J146" s="116"/>
      <c r="K146" s="26"/>
      <c r="L146" s="26"/>
      <c r="M146" s="26"/>
      <c r="N146" s="26"/>
      <c r="O146" s="26"/>
      <c r="P146" s="26"/>
      <c r="Q146" s="26"/>
      <c r="R146" s="26"/>
    </row>
    <row r="147" spans="2:18" x14ac:dyDescent="0.3">
      <c r="B147" s="25"/>
      <c r="C147" s="25"/>
      <c r="D147" s="25"/>
      <c r="E147" s="25"/>
      <c r="F147" s="26"/>
      <c r="G147" s="26"/>
      <c r="H147" s="26"/>
      <c r="I147" s="116"/>
      <c r="J147" s="116"/>
      <c r="K147" s="26"/>
      <c r="L147" s="26"/>
      <c r="M147" s="26"/>
      <c r="N147" s="26"/>
      <c r="O147" s="26"/>
      <c r="P147" s="26"/>
      <c r="Q147" s="26"/>
      <c r="R147" s="26"/>
    </row>
    <row r="148" spans="2:18" x14ac:dyDescent="0.3">
      <c r="B148" s="25"/>
      <c r="C148" s="25"/>
      <c r="D148" s="25"/>
      <c r="E148" s="25"/>
      <c r="F148" s="26"/>
      <c r="G148" s="26"/>
      <c r="H148" s="26"/>
      <c r="I148" s="116"/>
      <c r="J148" s="116"/>
      <c r="K148" s="26"/>
      <c r="L148" s="26"/>
      <c r="M148" s="26"/>
      <c r="N148" s="26"/>
      <c r="O148" s="26"/>
      <c r="P148" s="26"/>
      <c r="Q148" s="26"/>
      <c r="R148" s="26"/>
    </row>
    <row r="149" spans="2:18" x14ac:dyDescent="0.3">
      <c r="B149" s="25"/>
      <c r="C149" s="25"/>
      <c r="D149" s="25"/>
      <c r="E149" s="25"/>
      <c r="F149" s="26"/>
      <c r="G149" s="26"/>
      <c r="H149" s="26"/>
      <c r="I149" s="116"/>
      <c r="J149" s="116"/>
      <c r="K149" s="26"/>
      <c r="L149" s="26"/>
      <c r="M149" s="26"/>
      <c r="N149" s="26"/>
      <c r="O149" s="26"/>
      <c r="P149" s="26"/>
      <c r="Q149" s="26"/>
      <c r="R149" s="26"/>
    </row>
    <row r="150" spans="2:18" x14ac:dyDescent="0.3">
      <c r="B150" s="25"/>
      <c r="C150" s="25"/>
      <c r="D150" s="25"/>
      <c r="E150" s="25"/>
      <c r="F150" s="26"/>
      <c r="G150" s="26"/>
      <c r="H150" s="26"/>
      <c r="I150" s="116"/>
      <c r="J150" s="116"/>
      <c r="K150" s="26"/>
      <c r="L150" s="26"/>
      <c r="M150" s="26"/>
      <c r="N150" s="26"/>
      <c r="O150" s="26"/>
      <c r="P150" s="26"/>
      <c r="Q150" s="26"/>
      <c r="R150" s="26"/>
    </row>
    <row r="151" spans="2:18" x14ac:dyDescent="0.3">
      <c r="B151" s="25"/>
      <c r="C151" s="25"/>
      <c r="D151" s="25"/>
      <c r="E151" s="25"/>
      <c r="F151" s="26"/>
      <c r="G151" s="26"/>
      <c r="H151" s="26"/>
      <c r="I151" s="116"/>
      <c r="J151" s="116"/>
      <c r="K151" s="26"/>
      <c r="L151" s="26"/>
      <c r="M151" s="26"/>
      <c r="N151" s="26"/>
      <c r="O151" s="26"/>
      <c r="P151" s="26"/>
      <c r="Q151" s="26"/>
      <c r="R151" s="26"/>
    </row>
    <row r="152" spans="2:18" x14ac:dyDescent="0.3">
      <c r="B152" s="25"/>
      <c r="C152" s="25"/>
      <c r="D152" s="25"/>
      <c r="E152" s="25"/>
      <c r="F152" s="26"/>
      <c r="G152" s="26"/>
      <c r="H152" s="26"/>
      <c r="I152" s="116"/>
      <c r="J152" s="116"/>
      <c r="K152" s="26"/>
      <c r="L152" s="26"/>
      <c r="M152" s="26"/>
      <c r="N152" s="26"/>
      <c r="O152" s="26"/>
      <c r="P152" s="26"/>
      <c r="Q152" s="26"/>
      <c r="R152" s="26"/>
    </row>
    <row r="153" spans="2:18" x14ac:dyDescent="0.3">
      <c r="B153" s="25"/>
      <c r="C153" s="25"/>
      <c r="D153" s="25"/>
      <c r="E153" s="25"/>
      <c r="F153" s="26"/>
      <c r="G153" s="26"/>
      <c r="H153" s="26"/>
      <c r="I153" s="116"/>
      <c r="J153" s="116"/>
      <c r="K153" s="26"/>
      <c r="L153" s="26"/>
      <c r="M153" s="26"/>
      <c r="N153" s="26"/>
      <c r="O153" s="26"/>
      <c r="P153" s="26"/>
      <c r="Q153" s="26"/>
      <c r="R153" s="26"/>
    </row>
    <row r="154" spans="2:18" x14ac:dyDescent="0.3">
      <c r="B154" s="25"/>
      <c r="C154" s="25"/>
      <c r="D154" s="25"/>
      <c r="E154" s="25"/>
      <c r="F154" s="26"/>
      <c r="G154" s="26"/>
      <c r="H154" s="26"/>
      <c r="I154" s="116"/>
      <c r="J154" s="116"/>
      <c r="K154" s="26"/>
      <c r="L154" s="26"/>
      <c r="M154" s="26"/>
      <c r="N154" s="26"/>
      <c r="O154" s="26"/>
      <c r="P154" s="26"/>
      <c r="Q154" s="26"/>
      <c r="R154" s="26"/>
    </row>
    <row r="155" spans="2:18" x14ac:dyDescent="0.3">
      <c r="B155" s="25"/>
      <c r="C155" s="25"/>
      <c r="D155" s="25"/>
      <c r="E155" s="25"/>
      <c r="F155" s="26"/>
      <c r="G155" s="26"/>
      <c r="H155" s="26"/>
      <c r="I155" s="116"/>
      <c r="J155" s="116"/>
      <c r="K155" s="26"/>
      <c r="L155" s="26"/>
      <c r="M155" s="26"/>
      <c r="N155" s="26"/>
      <c r="O155" s="26"/>
      <c r="P155" s="26"/>
      <c r="Q155" s="26"/>
      <c r="R155" s="26"/>
    </row>
    <row r="156" spans="2:18" x14ac:dyDescent="0.3">
      <c r="B156" s="25"/>
      <c r="C156" s="25"/>
      <c r="D156" s="25"/>
      <c r="E156" s="25"/>
      <c r="F156" s="26"/>
      <c r="G156" s="26"/>
      <c r="H156" s="26"/>
      <c r="I156" s="116"/>
      <c r="J156" s="116"/>
      <c r="K156" s="26"/>
      <c r="L156" s="26"/>
      <c r="M156" s="26"/>
      <c r="N156" s="26"/>
      <c r="O156" s="26"/>
      <c r="P156" s="26"/>
      <c r="Q156" s="26"/>
      <c r="R156" s="26"/>
    </row>
    <row r="157" spans="2:18" x14ac:dyDescent="0.3">
      <c r="B157" s="25"/>
      <c r="C157" s="25"/>
      <c r="D157" s="25"/>
      <c r="E157" s="25"/>
      <c r="F157" s="26"/>
      <c r="G157" s="26"/>
      <c r="H157" s="26"/>
      <c r="I157" s="116"/>
      <c r="J157" s="116"/>
      <c r="K157" s="26"/>
      <c r="L157" s="26"/>
      <c r="M157" s="26"/>
      <c r="N157" s="26"/>
      <c r="O157" s="26"/>
      <c r="P157" s="26"/>
      <c r="Q157" s="26"/>
      <c r="R157" s="26"/>
    </row>
    <row r="158" spans="2:18" x14ac:dyDescent="0.3">
      <c r="B158" s="25"/>
      <c r="C158" s="25"/>
      <c r="D158" s="25"/>
      <c r="E158" s="25"/>
      <c r="F158" s="26"/>
      <c r="G158" s="26"/>
      <c r="H158" s="26"/>
      <c r="I158" s="116"/>
      <c r="J158" s="116"/>
      <c r="K158" s="26"/>
      <c r="L158" s="26"/>
      <c r="M158" s="26"/>
      <c r="N158" s="26"/>
      <c r="O158" s="26"/>
      <c r="P158" s="26"/>
      <c r="Q158" s="26"/>
      <c r="R158" s="26"/>
    </row>
    <row r="159" spans="2:18" x14ac:dyDescent="0.3">
      <c r="B159" s="25"/>
      <c r="C159" s="25"/>
      <c r="D159" s="25"/>
      <c r="E159" s="25"/>
      <c r="F159" s="26"/>
      <c r="G159" s="26"/>
      <c r="H159" s="26"/>
      <c r="I159" s="116"/>
      <c r="J159" s="116"/>
      <c r="K159" s="26"/>
      <c r="L159" s="26"/>
      <c r="M159" s="26"/>
      <c r="N159" s="26"/>
      <c r="O159" s="26"/>
      <c r="P159" s="26"/>
      <c r="Q159" s="26"/>
      <c r="R159" s="26"/>
    </row>
    <row r="160" spans="2:18" x14ac:dyDescent="0.3">
      <c r="B160" s="25"/>
      <c r="C160" s="25"/>
      <c r="D160" s="25"/>
      <c r="E160" s="25"/>
      <c r="F160" s="26"/>
      <c r="G160" s="26"/>
      <c r="H160" s="26"/>
      <c r="I160" s="116"/>
      <c r="J160" s="116"/>
      <c r="K160" s="26"/>
      <c r="L160" s="26"/>
      <c r="M160" s="26"/>
      <c r="N160" s="26"/>
      <c r="O160" s="26"/>
      <c r="P160" s="26"/>
      <c r="Q160" s="26"/>
      <c r="R160" s="26"/>
    </row>
    <row r="161" spans="2:18" x14ac:dyDescent="0.3">
      <c r="B161" s="25"/>
      <c r="C161" s="25"/>
      <c r="D161" s="25"/>
      <c r="E161" s="25"/>
      <c r="F161" s="26"/>
      <c r="G161" s="26"/>
      <c r="H161" s="26"/>
      <c r="I161" s="116"/>
      <c r="J161" s="116"/>
      <c r="K161" s="26"/>
      <c r="L161" s="26"/>
      <c r="M161" s="26"/>
      <c r="N161" s="26"/>
      <c r="O161" s="26"/>
      <c r="P161" s="26"/>
      <c r="Q161" s="26"/>
      <c r="R161" s="26"/>
    </row>
    <row r="162" spans="2:18" x14ac:dyDescent="0.3">
      <c r="B162" s="25"/>
      <c r="C162" s="25"/>
      <c r="D162" s="25"/>
      <c r="E162" s="25"/>
      <c r="F162" s="26"/>
      <c r="G162" s="26"/>
      <c r="H162" s="26"/>
      <c r="I162" s="116"/>
      <c r="J162" s="116"/>
      <c r="K162" s="26"/>
      <c r="L162" s="26"/>
      <c r="M162" s="26"/>
      <c r="N162" s="26"/>
      <c r="O162" s="26"/>
      <c r="P162" s="26"/>
      <c r="Q162" s="26"/>
      <c r="R162" s="26"/>
    </row>
    <row r="163" spans="2:18" x14ac:dyDescent="0.3">
      <c r="B163" s="25"/>
      <c r="C163" s="25"/>
      <c r="D163" s="25"/>
      <c r="E163" s="25"/>
      <c r="F163" s="26"/>
      <c r="G163" s="26"/>
      <c r="H163" s="26"/>
      <c r="I163" s="116"/>
      <c r="J163" s="116"/>
      <c r="K163" s="26"/>
      <c r="L163" s="26"/>
      <c r="M163" s="26"/>
      <c r="N163" s="26"/>
      <c r="O163" s="26"/>
      <c r="P163" s="26"/>
      <c r="Q163" s="26"/>
      <c r="R163" s="26"/>
    </row>
    <row r="164" spans="2:18" x14ac:dyDescent="0.3">
      <c r="B164" s="25"/>
      <c r="C164" s="25"/>
      <c r="D164" s="25"/>
      <c r="E164" s="25"/>
      <c r="F164" s="26"/>
      <c r="G164" s="26"/>
      <c r="H164" s="26"/>
      <c r="I164" s="116"/>
      <c r="J164" s="116"/>
      <c r="K164" s="26"/>
      <c r="L164" s="26"/>
      <c r="M164" s="26"/>
      <c r="N164" s="26"/>
      <c r="O164" s="26"/>
      <c r="P164" s="26"/>
      <c r="Q164" s="26"/>
      <c r="R164" s="26"/>
    </row>
    <row r="165" spans="2:18" x14ac:dyDescent="0.3">
      <c r="B165" s="25"/>
      <c r="C165" s="25"/>
      <c r="D165" s="25"/>
      <c r="E165" s="25"/>
      <c r="F165" s="26"/>
      <c r="G165" s="26"/>
      <c r="H165" s="26"/>
      <c r="I165" s="116"/>
      <c r="J165" s="116"/>
      <c r="K165" s="26"/>
      <c r="L165" s="26"/>
      <c r="M165" s="26"/>
      <c r="N165" s="26"/>
      <c r="O165" s="26"/>
      <c r="P165" s="26"/>
      <c r="Q165" s="26"/>
      <c r="R165" s="26"/>
    </row>
    <row r="166" spans="2:18" x14ac:dyDescent="0.3">
      <c r="B166" s="25"/>
      <c r="C166" s="25"/>
      <c r="D166" s="25"/>
      <c r="E166" s="25"/>
      <c r="F166" s="26"/>
      <c r="G166" s="26"/>
      <c r="H166" s="26"/>
      <c r="I166" s="116"/>
      <c r="J166" s="116"/>
      <c r="K166" s="26"/>
      <c r="L166" s="26"/>
      <c r="M166" s="26"/>
      <c r="N166" s="26"/>
      <c r="O166" s="26"/>
      <c r="P166" s="26"/>
      <c r="Q166" s="26"/>
      <c r="R166" s="26"/>
    </row>
    <row r="167" spans="2:18" x14ac:dyDescent="0.3">
      <c r="B167" s="25"/>
      <c r="C167" s="25"/>
      <c r="D167" s="25"/>
      <c r="E167" s="25"/>
      <c r="F167" s="26"/>
      <c r="G167" s="26"/>
      <c r="H167" s="26"/>
      <c r="I167" s="116"/>
      <c r="J167" s="116"/>
      <c r="K167" s="26"/>
      <c r="L167" s="26"/>
      <c r="M167" s="26"/>
      <c r="N167" s="26"/>
      <c r="O167" s="26"/>
      <c r="P167" s="26"/>
      <c r="Q167" s="26"/>
      <c r="R167" s="26"/>
    </row>
    <row r="168" spans="2:18" x14ac:dyDescent="0.3">
      <c r="B168" s="25"/>
      <c r="C168" s="25"/>
      <c r="D168" s="25"/>
      <c r="E168" s="25"/>
      <c r="F168" s="26"/>
      <c r="G168" s="26"/>
      <c r="H168" s="26"/>
      <c r="I168" s="116"/>
      <c r="J168" s="116"/>
      <c r="K168" s="26"/>
      <c r="L168" s="26"/>
      <c r="M168" s="26"/>
      <c r="N168" s="26"/>
      <c r="O168" s="26"/>
      <c r="P168" s="26"/>
      <c r="Q168" s="26"/>
      <c r="R168" s="26"/>
    </row>
    <row r="169" spans="2:18" x14ac:dyDescent="0.3">
      <c r="B169" s="25"/>
      <c r="C169" s="25"/>
      <c r="D169" s="25"/>
      <c r="E169" s="25"/>
      <c r="F169" s="26"/>
      <c r="G169" s="26"/>
      <c r="H169" s="26"/>
      <c r="I169" s="116"/>
      <c r="J169" s="116"/>
      <c r="K169" s="26"/>
      <c r="L169" s="26"/>
      <c r="M169" s="26"/>
      <c r="N169" s="26"/>
      <c r="O169" s="26"/>
      <c r="P169" s="26"/>
      <c r="Q169" s="26"/>
      <c r="R169" s="26"/>
    </row>
    <row r="170" spans="2:18" x14ac:dyDescent="0.3">
      <c r="B170" s="25"/>
      <c r="C170" s="25"/>
      <c r="D170" s="25"/>
      <c r="E170" s="25"/>
      <c r="F170" s="26"/>
      <c r="G170" s="26"/>
      <c r="H170" s="26"/>
      <c r="I170" s="116"/>
      <c r="J170" s="116"/>
      <c r="K170" s="26"/>
      <c r="L170" s="26"/>
      <c r="M170" s="26"/>
      <c r="N170" s="26"/>
      <c r="O170" s="26"/>
      <c r="P170" s="26"/>
      <c r="Q170" s="26"/>
      <c r="R170" s="26"/>
    </row>
    <row r="171" spans="2:18" x14ac:dyDescent="0.3">
      <c r="B171" s="25"/>
      <c r="C171" s="25"/>
      <c r="D171" s="25"/>
      <c r="E171" s="25"/>
      <c r="F171" s="26"/>
      <c r="G171" s="26"/>
      <c r="H171" s="26"/>
      <c r="I171" s="116"/>
      <c r="J171" s="116"/>
      <c r="K171" s="26"/>
      <c r="L171" s="26"/>
      <c r="M171" s="26"/>
      <c r="N171" s="26"/>
      <c r="O171" s="26"/>
      <c r="P171" s="26"/>
      <c r="Q171" s="26"/>
      <c r="R171" s="26"/>
    </row>
    <row r="172" spans="2:18" x14ac:dyDescent="0.3">
      <c r="B172" s="25"/>
      <c r="C172" s="25"/>
      <c r="D172" s="25"/>
      <c r="E172" s="25"/>
      <c r="F172" s="26"/>
      <c r="G172" s="26"/>
      <c r="H172" s="26"/>
      <c r="I172" s="116"/>
      <c r="J172" s="116"/>
      <c r="K172" s="26"/>
      <c r="L172" s="26"/>
      <c r="M172" s="26"/>
      <c r="N172" s="26"/>
      <c r="O172" s="26"/>
      <c r="P172" s="26"/>
      <c r="Q172" s="26"/>
      <c r="R172" s="26"/>
    </row>
    <row r="173" spans="2:18" x14ac:dyDescent="0.3">
      <c r="B173" s="25"/>
      <c r="C173" s="25"/>
      <c r="D173" s="25"/>
      <c r="E173" s="25"/>
      <c r="F173" s="26"/>
      <c r="G173" s="26"/>
      <c r="H173" s="26"/>
      <c r="I173" s="116"/>
      <c r="J173" s="116"/>
      <c r="K173" s="26"/>
      <c r="L173" s="26"/>
      <c r="M173" s="26"/>
      <c r="N173" s="26"/>
      <c r="O173" s="26"/>
      <c r="P173" s="26"/>
      <c r="Q173" s="26"/>
      <c r="R173" s="26"/>
    </row>
    <row r="174" spans="2:18" x14ac:dyDescent="0.3">
      <c r="B174" s="25"/>
      <c r="C174" s="25"/>
      <c r="D174" s="25"/>
      <c r="E174" s="25"/>
      <c r="F174" s="26"/>
      <c r="G174" s="26"/>
      <c r="H174" s="26"/>
      <c r="I174" s="116"/>
      <c r="J174" s="116"/>
      <c r="K174" s="26"/>
      <c r="L174" s="26"/>
      <c r="M174" s="26"/>
      <c r="N174" s="26"/>
      <c r="O174" s="26"/>
      <c r="P174" s="26"/>
      <c r="Q174" s="26"/>
      <c r="R174" s="26"/>
    </row>
    <row r="175" spans="2:18" x14ac:dyDescent="0.3">
      <c r="B175" s="25"/>
      <c r="C175" s="25"/>
      <c r="D175" s="25"/>
      <c r="E175" s="25"/>
      <c r="F175" s="26"/>
      <c r="G175" s="26"/>
      <c r="H175" s="26"/>
      <c r="I175" s="116"/>
      <c r="J175" s="116"/>
      <c r="K175" s="26"/>
      <c r="L175" s="26"/>
      <c r="M175" s="26"/>
      <c r="N175" s="26"/>
      <c r="O175" s="26"/>
      <c r="P175" s="26"/>
      <c r="Q175" s="26"/>
      <c r="R175" s="26"/>
    </row>
    <row r="176" spans="2:18" x14ac:dyDescent="0.3">
      <c r="B176" s="25"/>
      <c r="C176" s="25"/>
      <c r="D176" s="25"/>
      <c r="E176" s="25"/>
      <c r="F176" s="26"/>
      <c r="G176" s="26"/>
      <c r="H176" s="26"/>
      <c r="I176" s="116"/>
      <c r="J176" s="116"/>
      <c r="K176" s="26"/>
      <c r="L176" s="26"/>
      <c r="M176" s="26"/>
      <c r="N176" s="26"/>
      <c r="O176" s="26"/>
      <c r="P176" s="26"/>
      <c r="Q176" s="26"/>
      <c r="R176" s="26"/>
    </row>
    <row r="177" spans="2:18" x14ac:dyDescent="0.3">
      <c r="B177" s="25"/>
      <c r="C177" s="25"/>
      <c r="D177" s="25"/>
      <c r="E177" s="25"/>
      <c r="F177" s="26"/>
      <c r="G177" s="26"/>
      <c r="H177" s="26"/>
      <c r="I177" s="116"/>
      <c r="J177" s="116"/>
      <c r="K177" s="26"/>
      <c r="L177" s="26"/>
      <c r="M177" s="26"/>
      <c r="N177" s="26"/>
      <c r="O177" s="26"/>
      <c r="P177" s="26"/>
      <c r="Q177" s="26"/>
      <c r="R177" s="26"/>
    </row>
    <row r="178" spans="2:18" x14ac:dyDescent="0.3">
      <c r="B178" s="25"/>
      <c r="C178" s="25"/>
      <c r="D178" s="25"/>
      <c r="E178" s="25"/>
      <c r="F178" s="26"/>
      <c r="G178" s="26"/>
      <c r="H178" s="26"/>
      <c r="I178" s="116"/>
      <c r="J178" s="116"/>
      <c r="K178" s="26"/>
      <c r="L178" s="26"/>
      <c r="M178" s="26"/>
      <c r="N178" s="26"/>
      <c r="O178" s="26"/>
      <c r="P178" s="26"/>
      <c r="Q178" s="26"/>
      <c r="R178" s="26"/>
    </row>
    <row r="179" spans="2:18" x14ac:dyDescent="0.3">
      <c r="B179" s="25"/>
      <c r="C179" s="25"/>
      <c r="D179" s="25"/>
      <c r="E179" s="25"/>
      <c r="F179" s="26"/>
      <c r="G179" s="26"/>
      <c r="H179" s="26"/>
      <c r="I179" s="116"/>
      <c r="J179" s="116"/>
      <c r="K179" s="26"/>
      <c r="L179" s="26"/>
      <c r="M179" s="26"/>
      <c r="N179" s="26"/>
      <c r="O179" s="26"/>
      <c r="P179" s="26"/>
      <c r="Q179" s="26"/>
      <c r="R179" s="26"/>
    </row>
    <row r="180" spans="2:18" x14ac:dyDescent="0.3">
      <c r="B180" s="25"/>
      <c r="C180" s="25"/>
      <c r="D180" s="25"/>
      <c r="E180" s="25"/>
      <c r="F180" s="26"/>
      <c r="G180" s="26"/>
      <c r="H180" s="26"/>
      <c r="I180" s="116"/>
      <c r="J180" s="116"/>
      <c r="K180" s="26"/>
      <c r="L180" s="26"/>
      <c r="M180" s="26"/>
      <c r="N180" s="26"/>
      <c r="O180" s="26"/>
      <c r="P180" s="26"/>
      <c r="Q180" s="26"/>
      <c r="R180" s="26"/>
    </row>
    <row r="181" spans="2:18" x14ac:dyDescent="0.3">
      <c r="B181" s="25"/>
      <c r="C181" s="25"/>
      <c r="D181" s="25"/>
      <c r="E181" s="25"/>
      <c r="F181" s="26"/>
      <c r="G181" s="26"/>
      <c r="H181" s="26"/>
      <c r="I181" s="116"/>
      <c r="J181" s="116"/>
      <c r="K181" s="26"/>
      <c r="L181" s="26"/>
      <c r="M181" s="26"/>
      <c r="N181" s="26"/>
      <c r="O181" s="26"/>
      <c r="P181" s="26"/>
      <c r="Q181" s="26"/>
      <c r="R181" s="26"/>
    </row>
    <row r="182" spans="2:18" x14ac:dyDescent="0.3">
      <c r="B182" s="25"/>
      <c r="C182" s="25"/>
      <c r="D182" s="25"/>
      <c r="E182" s="25"/>
      <c r="F182" s="26"/>
      <c r="G182" s="26"/>
      <c r="H182" s="26"/>
      <c r="I182" s="116"/>
      <c r="J182" s="116"/>
      <c r="K182" s="26"/>
      <c r="L182" s="26"/>
      <c r="M182" s="26"/>
      <c r="N182" s="26"/>
      <c r="O182" s="26"/>
      <c r="P182" s="26"/>
      <c r="Q182" s="26"/>
      <c r="R182" s="26"/>
    </row>
    <row r="183" spans="2:18" x14ac:dyDescent="0.3">
      <c r="B183" s="25"/>
      <c r="C183" s="25"/>
      <c r="D183" s="25"/>
      <c r="E183" s="25"/>
      <c r="F183" s="26"/>
      <c r="G183" s="26"/>
      <c r="H183" s="26"/>
      <c r="I183" s="116"/>
      <c r="J183" s="116"/>
      <c r="K183" s="26"/>
      <c r="L183" s="26"/>
      <c r="M183" s="26"/>
      <c r="N183" s="26"/>
      <c r="O183" s="26"/>
      <c r="P183" s="26"/>
      <c r="Q183" s="26"/>
      <c r="R183" s="26"/>
    </row>
    <row r="184" spans="2:18" x14ac:dyDescent="0.3">
      <c r="B184" s="25"/>
      <c r="C184" s="25"/>
      <c r="D184" s="25"/>
      <c r="E184" s="25"/>
      <c r="F184" s="26"/>
      <c r="G184" s="26"/>
      <c r="H184" s="26"/>
      <c r="I184" s="116"/>
      <c r="J184" s="116"/>
      <c r="K184" s="26"/>
      <c r="L184" s="26"/>
      <c r="M184" s="26"/>
      <c r="N184" s="26"/>
      <c r="O184" s="26"/>
      <c r="P184" s="26"/>
      <c r="Q184" s="26"/>
      <c r="R184" s="26"/>
    </row>
    <row r="185" spans="2:18" x14ac:dyDescent="0.3">
      <c r="B185" s="25"/>
      <c r="C185" s="25"/>
      <c r="D185" s="25"/>
      <c r="E185" s="25"/>
      <c r="F185" s="26"/>
      <c r="G185" s="26"/>
      <c r="H185" s="26"/>
      <c r="I185" s="116"/>
      <c r="J185" s="116"/>
      <c r="K185" s="26"/>
      <c r="L185" s="26"/>
      <c r="M185" s="26"/>
      <c r="N185" s="26"/>
      <c r="O185" s="26"/>
      <c r="P185" s="26"/>
      <c r="Q185" s="26"/>
      <c r="R185" s="26"/>
    </row>
    <row r="186" spans="2:18" x14ac:dyDescent="0.3">
      <c r="B186" s="25"/>
      <c r="C186" s="25"/>
      <c r="D186" s="25"/>
      <c r="E186" s="25"/>
      <c r="F186" s="26"/>
      <c r="G186" s="26"/>
      <c r="H186" s="26"/>
      <c r="I186" s="116"/>
      <c r="J186" s="116"/>
      <c r="K186" s="26"/>
      <c r="L186" s="26"/>
      <c r="M186" s="26"/>
      <c r="N186" s="26"/>
      <c r="O186" s="26"/>
      <c r="P186" s="26"/>
      <c r="Q186" s="26"/>
      <c r="R186" s="26"/>
    </row>
    <row r="187" spans="2:18" x14ac:dyDescent="0.3">
      <c r="B187" s="25"/>
      <c r="C187" s="25"/>
      <c r="D187" s="25"/>
      <c r="E187" s="25"/>
      <c r="F187" s="26"/>
      <c r="G187" s="26"/>
      <c r="H187" s="26"/>
      <c r="I187" s="116"/>
      <c r="J187" s="116"/>
      <c r="K187" s="26"/>
      <c r="L187" s="26"/>
      <c r="M187" s="26"/>
      <c r="N187" s="26"/>
      <c r="O187" s="26"/>
      <c r="P187" s="26"/>
      <c r="Q187" s="26"/>
      <c r="R187" s="26"/>
    </row>
    <row r="188" spans="2:18" x14ac:dyDescent="0.3">
      <c r="B188" s="25"/>
      <c r="C188" s="25"/>
      <c r="D188" s="25"/>
      <c r="E188" s="25"/>
      <c r="F188" s="26"/>
      <c r="G188" s="26"/>
      <c r="H188" s="26"/>
      <c r="I188" s="116"/>
      <c r="J188" s="116"/>
      <c r="K188" s="26"/>
      <c r="L188" s="26"/>
      <c r="M188" s="26"/>
      <c r="N188" s="26"/>
      <c r="O188" s="26"/>
      <c r="P188" s="26"/>
      <c r="Q188" s="26"/>
      <c r="R188" s="26"/>
    </row>
    <row r="189" spans="2:18" x14ac:dyDescent="0.3">
      <c r="B189" s="25"/>
      <c r="C189" s="25"/>
      <c r="D189" s="25"/>
      <c r="E189" s="25"/>
      <c r="F189" s="26"/>
      <c r="G189" s="26"/>
      <c r="H189" s="26"/>
      <c r="I189" s="116"/>
      <c r="J189" s="116"/>
      <c r="K189" s="26"/>
      <c r="L189" s="26"/>
      <c r="M189" s="26"/>
      <c r="N189" s="26"/>
      <c r="O189" s="26"/>
      <c r="P189" s="26"/>
      <c r="Q189" s="26"/>
      <c r="R189" s="26"/>
    </row>
    <row r="190" spans="2:18" x14ac:dyDescent="0.3">
      <c r="B190" s="25"/>
      <c r="C190" s="25"/>
      <c r="D190" s="25"/>
      <c r="E190" s="25"/>
      <c r="F190" s="26"/>
      <c r="G190" s="26"/>
      <c r="H190" s="26"/>
      <c r="I190" s="116"/>
      <c r="J190" s="116"/>
      <c r="K190" s="26"/>
      <c r="L190" s="26"/>
      <c r="M190" s="26"/>
      <c r="N190" s="26"/>
      <c r="O190" s="26"/>
      <c r="P190" s="26"/>
      <c r="Q190" s="26"/>
      <c r="R190" s="26"/>
    </row>
    <row r="191" spans="2:18" x14ac:dyDescent="0.3">
      <c r="B191" s="25"/>
      <c r="C191" s="25"/>
      <c r="D191" s="25"/>
      <c r="E191" s="25"/>
      <c r="F191" s="26"/>
      <c r="G191" s="26"/>
      <c r="H191" s="26"/>
      <c r="I191" s="116"/>
      <c r="J191" s="116"/>
      <c r="K191" s="26"/>
      <c r="L191" s="26"/>
      <c r="M191" s="26"/>
      <c r="N191" s="26"/>
      <c r="O191" s="26"/>
      <c r="P191" s="26"/>
      <c r="Q191" s="26"/>
      <c r="R191" s="26"/>
    </row>
    <row r="192" spans="2:18" x14ac:dyDescent="0.3">
      <c r="B192" s="25"/>
      <c r="C192" s="25"/>
      <c r="D192" s="25"/>
      <c r="E192" s="25"/>
      <c r="F192" s="26"/>
      <c r="G192" s="26"/>
      <c r="H192" s="26"/>
      <c r="I192" s="116"/>
      <c r="J192" s="116"/>
      <c r="K192" s="26"/>
      <c r="L192" s="26"/>
      <c r="M192" s="26"/>
      <c r="N192" s="26"/>
      <c r="O192" s="26"/>
      <c r="P192" s="26"/>
      <c r="Q192" s="26"/>
      <c r="R192" s="26"/>
    </row>
    <row r="193" spans="2:18" x14ac:dyDescent="0.3">
      <c r="B193" s="25"/>
      <c r="C193" s="25"/>
      <c r="D193" s="25"/>
      <c r="E193" s="25"/>
      <c r="F193" s="26"/>
      <c r="G193" s="26"/>
      <c r="H193" s="26"/>
      <c r="I193" s="116"/>
      <c r="J193" s="116"/>
      <c r="K193" s="26"/>
      <c r="L193" s="26"/>
      <c r="M193" s="26"/>
      <c r="N193" s="26"/>
      <c r="O193" s="26"/>
      <c r="P193" s="26"/>
      <c r="Q193" s="26"/>
      <c r="R193" s="26"/>
    </row>
    <row r="194" spans="2:18" x14ac:dyDescent="0.3">
      <c r="B194" s="25"/>
      <c r="C194" s="25"/>
      <c r="D194" s="25"/>
      <c r="E194" s="25"/>
      <c r="F194" s="26"/>
      <c r="G194" s="26"/>
      <c r="H194" s="26"/>
      <c r="I194" s="116"/>
      <c r="J194" s="116"/>
      <c r="K194" s="26"/>
      <c r="L194" s="26"/>
      <c r="M194" s="26"/>
      <c r="N194" s="26"/>
      <c r="O194" s="26"/>
      <c r="P194" s="26"/>
      <c r="Q194" s="26"/>
      <c r="R194" s="26"/>
    </row>
    <row r="195" spans="2:18" x14ac:dyDescent="0.3">
      <c r="B195" s="25"/>
      <c r="C195" s="25"/>
      <c r="D195" s="25"/>
      <c r="E195" s="25"/>
      <c r="F195" s="26"/>
      <c r="G195" s="26"/>
      <c r="H195" s="26"/>
      <c r="I195" s="116"/>
      <c r="J195" s="116"/>
      <c r="K195" s="26"/>
      <c r="L195" s="26"/>
      <c r="M195" s="26"/>
      <c r="N195" s="26"/>
      <c r="O195" s="26"/>
      <c r="P195" s="26"/>
      <c r="Q195" s="26"/>
      <c r="R195" s="26"/>
    </row>
    <row r="196" spans="2:18" x14ac:dyDescent="0.3">
      <c r="B196" s="25"/>
      <c r="C196" s="25"/>
      <c r="D196" s="25"/>
      <c r="E196" s="25"/>
      <c r="F196" s="26"/>
      <c r="G196" s="26"/>
      <c r="H196" s="26"/>
      <c r="I196" s="116"/>
      <c r="J196" s="116"/>
      <c r="K196" s="26"/>
      <c r="L196" s="26"/>
      <c r="M196" s="26"/>
      <c r="N196" s="26"/>
      <c r="O196" s="26"/>
      <c r="P196" s="26"/>
      <c r="Q196" s="26"/>
      <c r="R196" s="26"/>
    </row>
    <row r="197" spans="2:18" x14ac:dyDescent="0.3">
      <c r="B197" s="25"/>
      <c r="C197" s="25"/>
      <c r="D197" s="25"/>
      <c r="E197" s="25"/>
      <c r="F197" s="26"/>
      <c r="G197" s="26"/>
      <c r="H197" s="26"/>
      <c r="I197" s="116"/>
      <c r="J197" s="116"/>
      <c r="K197" s="26"/>
      <c r="L197" s="26"/>
      <c r="M197" s="26"/>
      <c r="N197" s="26"/>
      <c r="O197" s="26"/>
      <c r="P197" s="26"/>
      <c r="Q197" s="26"/>
      <c r="R197" s="26"/>
    </row>
    <row r="198" spans="2:18" x14ac:dyDescent="0.3">
      <c r="B198" s="25"/>
      <c r="C198" s="25"/>
      <c r="D198" s="25"/>
      <c r="E198" s="25"/>
      <c r="F198" s="26"/>
      <c r="G198" s="26"/>
      <c r="H198" s="26"/>
      <c r="I198" s="116"/>
      <c r="J198" s="116"/>
      <c r="K198" s="26"/>
      <c r="L198" s="26"/>
      <c r="M198" s="26"/>
      <c r="N198" s="26"/>
      <c r="O198" s="26"/>
      <c r="P198" s="26"/>
      <c r="Q198" s="26"/>
      <c r="R198" s="26"/>
    </row>
    <row r="199" spans="2:18" x14ac:dyDescent="0.3">
      <c r="B199" s="25"/>
      <c r="C199" s="25"/>
      <c r="D199" s="25"/>
      <c r="E199" s="25"/>
      <c r="F199" s="26"/>
      <c r="G199" s="26"/>
      <c r="H199" s="26"/>
      <c r="I199" s="116"/>
      <c r="J199" s="116"/>
      <c r="K199" s="26"/>
      <c r="L199" s="26"/>
      <c r="M199" s="26"/>
      <c r="N199" s="26"/>
      <c r="O199" s="26"/>
      <c r="P199" s="26"/>
      <c r="Q199" s="26"/>
      <c r="R199" s="26"/>
    </row>
    <row r="200" spans="2:18" x14ac:dyDescent="0.3">
      <c r="B200" s="25"/>
      <c r="C200" s="25"/>
      <c r="D200" s="25"/>
      <c r="E200" s="25"/>
      <c r="F200" s="26"/>
      <c r="G200" s="26"/>
      <c r="H200" s="26"/>
      <c r="I200" s="116"/>
      <c r="J200" s="116"/>
      <c r="K200" s="26"/>
      <c r="L200" s="26"/>
      <c r="M200" s="26"/>
      <c r="N200" s="26"/>
      <c r="O200" s="26"/>
      <c r="P200" s="26"/>
      <c r="Q200" s="26"/>
      <c r="R200" s="26"/>
    </row>
    <row r="201" spans="2:18" x14ac:dyDescent="0.3">
      <c r="B201" s="25"/>
      <c r="C201" s="25"/>
      <c r="D201" s="25"/>
      <c r="E201" s="25"/>
      <c r="F201" s="26"/>
      <c r="G201" s="26"/>
      <c r="H201" s="26"/>
      <c r="I201" s="116"/>
      <c r="J201" s="116"/>
      <c r="K201" s="26"/>
      <c r="L201" s="26"/>
      <c r="M201" s="26"/>
      <c r="N201" s="26"/>
      <c r="O201" s="26"/>
      <c r="P201" s="26"/>
      <c r="Q201" s="26"/>
      <c r="R201" s="26"/>
    </row>
    <row r="202" spans="2:18" x14ac:dyDescent="0.3">
      <c r="B202" s="25"/>
      <c r="C202" s="25"/>
      <c r="D202" s="25"/>
      <c r="E202" s="25"/>
      <c r="F202" s="26"/>
      <c r="G202" s="26"/>
      <c r="H202" s="26"/>
      <c r="I202" s="116"/>
      <c r="J202" s="116"/>
      <c r="K202" s="26"/>
      <c r="L202" s="26"/>
      <c r="M202" s="26"/>
      <c r="N202" s="26"/>
      <c r="O202" s="26"/>
      <c r="P202" s="26"/>
      <c r="Q202" s="26"/>
      <c r="R202" s="26"/>
    </row>
    <row r="203" spans="2:18" x14ac:dyDescent="0.3">
      <c r="B203" s="25"/>
      <c r="C203" s="25"/>
      <c r="D203" s="25"/>
      <c r="E203" s="25"/>
      <c r="F203" s="26"/>
      <c r="G203" s="26"/>
      <c r="H203" s="26"/>
      <c r="I203" s="116"/>
      <c r="J203" s="116"/>
      <c r="K203" s="26"/>
      <c r="L203" s="26"/>
      <c r="M203" s="26"/>
      <c r="N203" s="26"/>
      <c r="O203" s="26"/>
      <c r="P203" s="26"/>
      <c r="Q203" s="26"/>
      <c r="R203" s="26"/>
    </row>
    <row r="204" spans="2:18" x14ac:dyDescent="0.3">
      <c r="B204" s="25"/>
      <c r="C204" s="25"/>
      <c r="D204" s="25"/>
      <c r="E204" s="25"/>
      <c r="F204" s="26"/>
      <c r="G204" s="26"/>
      <c r="H204" s="26"/>
      <c r="I204" s="116"/>
      <c r="J204" s="116"/>
      <c r="K204" s="26"/>
      <c r="L204" s="26"/>
      <c r="M204" s="26"/>
      <c r="N204" s="26"/>
      <c r="O204" s="26"/>
      <c r="P204" s="26"/>
      <c r="Q204" s="26"/>
      <c r="R204" s="26"/>
    </row>
    <row r="205" spans="2:18" x14ac:dyDescent="0.3">
      <c r="B205" s="25"/>
      <c r="C205" s="25"/>
      <c r="D205" s="25"/>
      <c r="E205" s="25"/>
      <c r="F205" s="26"/>
      <c r="G205" s="26"/>
      <c r="H205" s="26"/>
      <c r="I205" s="116"/>
      <c r="J205" s="116"/>
      <c r="K205" s="26"/>
      <c r="L205" s="26"/>
      <c r="M205" s="26"/>
      <c r="N205" s="26"/>
      <c r="O205" s="26"/>
      <c r="P205" s="26"/>
      <c r="Q205" s="26"/>
      <c r="R205" s="26"/>
    </row>
    <row r="206" spans="2:18" x14ac:dyDescent="0.3">
      <c r="B206" s="25"/>
      <c r="C206" s="25"/>
      <c r="D206" s="25"/>
      <c r="E206" s="25"/>
      <c r="F206" s="26"/>
      <c r="G206" s="26"/>
      <c r="H206" s="26"/>
      <c r="I206" s="116"/>
      <c r="J206" s="116"/>
      <c r="K206" s="26"/>
      <c r="L206" s="26"/>
      <c r="M206" s="26"/>
      <c r="N206" s="26"/>
      <c r="O206" s="26"/>
      <c r="P206" s="26"/>
      <c r="Q206" s="26"/>
      <c r="R206" s="26"/>
    </row>
    <row r="207" spans="2:18" x14ac:dyDescent="0.3">
      <c r="B207" s="25"/>
      <c r="C207" s="25"/>
      <c r="D207" s="25"/>
      <c r="E207" s="25"/>
      <c r="F207" s="26"/>
      <c r="G207" s="26"/>
      <c r="H207" s="26"/>
      <c r="I207" s="116"/>
      <c r="J207" s="116"/>
      <c r="K207" s="26"/>
      <c r="L207" s="26"/>
      <c r="M207" s="26"/>
      <c r="N207" s="26"/>
      <c r="O207" s="26"/>
      <c r="P207" s="26"/>
      <c r="Q207" s="26"/>
      <c r="R207" s="26"/>
    </row>
    <row r="208" spans="2:18" x14ac:dyDescent="0.3">
      <c r="B208" s="25"/>
      <c r="C208" s="25"/>
      <c r="D208" s="25"/>
      <c r="E208" s="25"/>
      <c r="F208" s="26"/>
      <c r="G208" s="26"/>
      <c r="H208" s="26"/>
      <c r="I208" s="116"/>
      <c r="J208" s="116"/>
      <c r="K208" s="26"/>
      <c r="L208" s="26"/>
      <c r="M208" s="26"/>
      <c r="N208" s="26"/>
      <c r="O208" s="26"/>
      <c r="P208" s="26"/>
      <c r="Q208" s="26"/>
      <c r="R208" s="26"/>
    </row>
    <row r="209" spans="2:18" x14ac:dyDescent="0.3">
      <c r="B209" s="25"/>
      <c r="C209" s="25"/>
      <c r="D209" s="25"/>
      <c r="E209" s="25"/>
      <c r="F209" s="26"/>
      <c r="G209" s="26"/>
      <c r="H209" s="26"/>
      <c r="I209" s="116"/>
      <c r="J209" s="116"/>
      <c r="K209" s="26"/>
      <c r="L209" s="26"/>
      <c r="M209" s="26"/>
      <c r="N209" s="26"/>
      <c r="O209" s="26"/>
      <c r="P209" s="26"/>
      <c r="Q209" s="26"/>
      <c r="R209" s="26"/>
    </row>
    <row r="210" spans="2:18" x14ac:dyDescent="0.3">
      <c r="B210" s="25"/>
      <c r="C210" s="25"/>
      <c r="D210" s="25"/>
      <c r="E210" s="25"/>
      <c r="F210" s="26"/>
      <c r="G210" s="26"/>
      <c r="H210" s="26"/>
      <c r="I210" s="116"/>
      <c r="J210" s="116"/>
      <c r="K210" s="26"/>
      <c r="L210" s="26"/>
      <c r="M210" s="26"/>
      <c r="N210" s="26"/>
      <c r="O210" s="26"/>
      <c r="P210" s="26"/>
      <c r="Q210" s="26"/>
      <c r="R210" s="26"/>
    </row>
    <row r="211" spans="2:18" x14ac:dyDescent="0.3">
      <c r="B211" s="25"/>
      <c r="C211" s="25"/>
      <c r="D211" s="25"/>
      <c r="E211" s="25"/>
      <c r="F211" s="26"/>
      <c r="G211" s="26"/>
      <c r="H211" s="26"/>
      <c r="I211" s="116"/>
      <c r="J211" s="116"/>
      <c r="K211" s="26"/>
      <c r="L211" s="26"/>
      <c r="M211" s="26"/>
      <c r="N211" s="26"/>
      <c r="O211" s="26"/>
      <c r="P211" s="26"/>
      <c r="Q211" s="26"/>
      <c r="R211" s="26"/>
    </row>
    <row r="212" spans="2:18" x14ac:dyDescent="0.3">
      <c r="B212" s="25"/>
      <c r="C212" s="25"/>
      <c r="D212" s="25"/>
      <c r="E212" s="25"/>
      <c r="F212" s="26"/>
      <c r="G212" s="26"/>
      <c r="H212" s="26"/>
      <c r="I212" s="116"/>
      <c r="J212" s="116"/>
      <c r="K212" s="26"/>
      <c r="L212" s="26"/>
      <c r="M212" s="26"/>
      <c r="N212" s="26"/>
      <c r="O212" s="26"/>
      <c r="P212" s="26"/>
      <c r="Q212" s="26"/>
      <c r="R212" s="26"/>
    </row>
    <row r="213" spans="2:18" x14ac:dyDescent="0.3">
      <c r="B213" s="25"/>
      <c r="C213" s="25"/>
      <c r="D213" s="25"/>
      <c r="E213" s="25"/>
      <c r="F213" s="26"/>
      <c r="G213" s="26"/>
      <c r="H213" s="26"/>
      <c r="I213" s="116"/>
      <c r="J213" s="116"/>
      <c r="K213" s="26"/>
      <c r="L213" s="26"/>
      <c r="M213" s="26"/>
      <c r="N213" s="26"/>
      <c r="O213" s="26"/>
      <c r="P213" s="26"/>
      <c r="Q213" s="26"/>
      <c r="R213" s="26"/>
    </row>
    <row r="214" spans="2:18" x14ac:dyDescent="0.3">
      <c r="B214" s="25"/>
      <c r="C214" s="25"/>
      <c r="D214" s="25"/>
      <c r="E214" s="25"/>
      <c r="F214" s="26"/>
      <c r="G214" s="26"/>
      <c r="H214" s="26"/>
      <c r="I214" s="116"/>
      <c r="J214" s="116"/>
      <c r="K214" s="26"/>
      <c r="L214" s="26"/>
      <c r="M214" s="26"/>
      <c r="N214" s="26"/>
      <c r="O214" s="26"/>
      <c r="P214" s="26"/>
      <c r="Q214" s="26"/>
      <c r="R214" s="26"/>
    </row>
    <row r="215" spans="2:18" x14ac:dyDescent="0.3">
      <c r="B215" s="25"/>
      <c r="C215" s="25"/>
      <c r="D215" s="25"/>
      <c r="E215" s="25"/>
      <c r="F215" s="26"/>
      <c r="G215" s="26"/>
      <c r="H215" s="26"/>
      <c r="I215" s="116"/>
      <c r="J215" s="116"/>
      <c r="K215" s="26"/>
      <c r="L215" s="26"/>
      <c r="M215" s="26"/>
      <c r="N215" s="26"/>
      <c r="O215" s="26"/>
      <c r="P215" s="26"/>
      <c r="Q215" s="26"/>
      <c r="R215" s="26"/>
    </row>
    <row r="216" spans="2:18" x14ac:dyDescent="0.3">
      <c r="B216" s="25"/>
      <c r="C216" s="25"/>
      <c r="D216" s="25"/>
      <c r="E216" s="25"/>
      <c r="F216" s="26"/>
      <c r="G216" s="26"/>
      <c r="H216" s="26"/>
      <c r="I216" s="116"/>
      <c r="J216" s="116"/>
      <c r="K216" s="26"/>
      <c r="L216" s="26"/>
      <c r="M216" s="26"/>
      <c r="N216" s="26"/>
      <c r="O216" s="26"/>
      <c r="P216" s="26"/>
      <c r="Q216" s="26"/>
      <c r="R216" s="26"/>
    </row>
    <row r="217" spans="2:18" x14ac:dyDescent="0.3">
      <c r="B217" s="25"/>
      <c r="C217" s="25"/>
      <c r="D217" s="25"/>
      <c r="E217" s="25"/>
      <c r="F217" s="26"/>
      <c r="G217" s="26"/>
      <c r="H217" s="26"/>
      <c r="I217" s="116"/>
      <c r="J217" s="116"/>
      <c r="K217" s="26"/>
      <c r="L217" s="26"/>
      <c r="M217" s="26"/>
      <c r="N217" s="26"/>
      <c r="O217" s="26"/>
      <c r="P217" s="26"/>
      <c r="Q217" s="26"/>
      <c r="R217" s="26"/>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6.75" customHeight="1" x14ac:dyDescent="0.45">
      <c r="A2" s="289" t="s">
        <v>163</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5.25" customHeight="1" x14ac:dyDescent="0.45">
      <c r="A2" s="289" t="s">
        <v>164</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2" bestFit="1" customWidth="1"/>
    <col min="2" max="7" width="8.7265625" style="22" bestFit="1" customWidth="1"/>
    <col min="8" max="8" width="7.54296875" style="22" hidden="1" customWidth="1"/>
    <col min="9" max="9" width="9.1796875" style="22" customWidth="1"/>
    <col min="10" max="16384" width="9.1796875" style="22"/>
  </cols>
  <sheetData>
    <row r="2" spans="1:20" ht="18.5" x14ac:dyDescent="0.45">
      <c r="A2" s="1" t="str">
        <f>DEBT_LAST_5_YEARS</f>
        <v>Державний та гарантований державою борг України за останні 5 років</v>
      </c>
      <c r="B2" s="290"/>
      <c r="C2" s="290"/>
      <c r="D2" s="290"/>
      <c r="E2" s="290"/>
      <c r="F2" s="290"/>
      <c r="G2" s="290"/>
      <c r="H2" s="26"/>
      <c r="I2" s="26"/>
      <c r="J2" s="26"/>
      <c r="K2" s="26"/>
      <c r="L2" s="26"/>
      <c r="M2" s="26"/>
      <c r="N2" s="26"/>
      <c r="O2" s="26"/>
      <c r="P2" s="26"/>
      <c r="Q2" s="26"/>
      <c r="R2" s="26"/>
      <c r="S2" s="26"/>
      <c r="T2" s="26"/>
    </row>
    <row r="3" spans="1:20" x14ac:dyDescent="0.3">
      <c r="A3" s="24"/>
    </row>
    <row r="4" spans="1:20" s="27" customFormat="1" x14ac:dyDescent="0.3">
      <c r="G4" s="37" t="s">
        <v>0</v>
      </c>
    </row>
    <row r="5" spans="1:20" s="53"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5"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205</v>
      </c>
    </row>
    <row r="3" spans="1:7" x14ac:dyDescent="0.25">
      <c r="A3" t="s">
        <v>165</v>
      </c>
      <c r="B3" s="6">
        <v>45716</v>
      </c>
      <c r="C3" s="146" t="s">
        <v>166</v>
      </c>
    </row>
    <row r="4" spans="1:7" x14ac:dyDescent="0.25">
      <c r="A4" t="s">
        <v>167</v>
      </c>
      <c r="B4" s="6" t="s">
        <v>168</v>
      </c>
      <c r="C4" s="146"/>
    </row>
    <row r="5" spans="1:7" x14ac:dyDescent="0.25">
      <c r="A5" t="s">
        <v>169</v>
      </c>
      <c r="B5">
        <v>1000000000</v>
      </c>
      <c r="C5" t="str">
        <f>IF($A$10="UKR",C7,C8 )</f>
        <v>млрд. дол. США</v>
      </c>
      <c r="D5" t="str">
        <f>IF($A$10="UKR",D7,D8 )</f>
        <v>млрд. грн</v>
      </c>
      <c r="E5" t="str">
        <f>IF($A$10="UKR",E7,E8 )</f>
        <v>млрд. одиниць</v>
      </c>
      <c r="F5">
        <f>1000000000/DDELIMER</f>
        <v>1</v>
      </c>
      <c r="G5">
        <f>IF($B$5=1,1000000000,IF($B$5=1000,1000000,IF($B$5=1000000,1000,IF($B$5=1000000000,1))))</f>
        <v>1</v>
      </c>
    </row>
    <row r="6" spans="1:7" x14ac:dyDescent="0.25">
      <c r="A6" t="s">
        <v>170</v>
      </c>
      <c r="B6" t="s">
        <v>171</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172</v>
      </c>
    </row>
    <row r="10" spans="1:7" x14ac:dyDescent="0.25">
      <c r="A10" t="s">
        <v>173</v>
      </c>
    </row>
    <row r="13" spans="1:7" x14ac:dyDescent="0.25">
      <c r="A13">
        <v>1000000000</v>
      </c>
    </row>
    <row r="15" spans="1:7" ht="87.5" x14ac:dyDescent="0.25">
      <c r="A15" t="s">
        <v>174</v>
      </c>
      <c r="B15" s="147"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C15" s="147" t="str">
        <f>IF(REPORT_LANG="UKR","(в розрізі середнього терміну обігу та середньої ставки)","(in terms of average term of circulation and average rate)")</f>
        <v>(в розрізі середнього терміну обігу та середньої ставки)</v>
      </c>
      <c r="D15" s="147" t="str">
        <f>IF(REPORT_LANG="UKR","Державний та гарантований державою борг України за останні 5 років","State debt and state guaranteed debt of Ukraine for the last 5 years") &amp; "
(" &amp; VALUSD &amp; ")"</f>
        <v>Державний та гарантований державою борг України за останні 5 років
(млрд. дол. США)</v>
      </c>
      <c r="E15" s="147" t="str">
        <f>IF(REPORT_LANG="UKR","Державний та гарантований державою борг України за останні 5 років","State debt and state guaranteed debt of Ukraine for the last 5 years") &amp; "
(" &amp; VALUAH &amp; ")"</f>
        <v>Державний та гарантований державою борг України за останні 5 років
(млрд. грн)</v>
      </c>
      <c r="F15" s="147" t="str">
        <f>IF(REPORT_LANG="UKR","Динаміка державного боргу за останні 5 років
(відсоткова структура)","State debt dynamics over the past 5 years
(percentage structure)")</f>
        <v>Динаміка державного боргу за останні 5 років
(відсоткова структура)</v>
      </c>
    </row>
    <row r="16" spans="1:7" ht="87.5" x14ac:dyDescent="0.25">
      <c r="B16" s="147" t="str">
        <f>IF(REPORT_LANG="UKR","Державний та гарантований державою борг України
станом на ","State debt and state guaranteed debt of Ukraine
as of ") &amp; STRPRESENTDATE</f>
        <v>Державний та гарантований державою борг України
станом на 28.02.2025</v>
      </c>
      <c r="C16" s="147"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Державний та гарантований державою борг України
станом на 28.02.2025
(в розрізі середнього терміну обігу та середньої ставки)</v>
      </c>
      <c r="D16" s="147" t="str">
        <f>IF(REPORT_LANG="UKR","(за типом кредитора)","(by creditor type)")</f>
        <v>(за типом кредитора)</v>
      </c>
      <c r="E16" s="147" t="str">
        <f>IF(REPORT_LANG="UKR","(в розрізі валют погашення)","(in terms of repayment currencies)")</f>
        <v>(в розрізі валют погашення)</v>
      </c>
      <c r="F16" s="147" t="str">
        <f>IF(REPORT_LANG="UKR","(за видами відсоткових ставок)","(by types of interest rates)")</f>
        <v>(за видами відсоткових ставок)</v>
      </c>
    </row>
    <row r="17" spans="2:7" ht="62.5" x14ac:dyDescent="0.25">
      <c r="B17" s="147" t="str">
        <f>IF(REPORT_LANG="UKR","Структура державного та гарантованого державою боргу
в розрізі термінів погашення","The structure of state and state-guaranteed debt
in terms of repayment terms")</f>
        <v>Структура державного та гарантованого державою боргу
в розрізі термінів погашення</v>
      </c>
    </row>
    <row r="18" spans="2:7" x14ac:dyDescent="0.25">
      <c r="B18" t="str">
        <f>IF(REPORT_LANG="UKR","дол.США","USD")</f>
        <v>дол.США</v>
      </c>
    </row>
    <row r="19" spans="2:7" x14ac:dyDescent="0.25">
      <c r="B19" t="str">
        <f>IF(REPORT_LANG="UKR","грн.","UAH")</f>
        <v>грн.</v>
      </c>
    </row>
    <row r="20" spans="2:7" ht="50" x14ac:dyDescent="0.25">
      <c r="B20" s="147"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Структура боргу за ознакою умовності
на кінець попереднього року та на звітну дату</v>
      </c>
    </row>
    <row r="21" spans="2:7" x14ac:dyDescent="0.25">
      <c r="B21" t="str">
        <f>IF(REPORT_LANG="UKR","Зміна структури","Change of structure")</f>
        <v>Зміна структури</v>
      </c>
    </row>
    <row r="22" spans="2:7" ht="50" x14ac:dyDescent="0.25">
      <c r="B22" s="147" t="str">
        <f>IF(REPORT_LANG="UKR","Валютна структура боргу на кінець попереднього року та на звітну дату","Currency structure of debt at the end of the previous year and at the reporting date")</f>
        <v>Валютна структура боргу на кінець попереднього року та на звітну дату</v>
      </c>
      <c r="C22" s="147" t="str">
        <f>IF(REPORT_LANG="UKR","(розширений)","(extended)")</f>
        <v>(розширений)</v>
      </c>
    </row>
    <row r="23" spans="2:7" x14ac:dyDescent="0.25">
      <c r="B23" t="str">
        <f>IF(REPORT_LANG="UKR","оріг.","original")</f>
        <v>оріг.</v>
      </c>
    </row>
    <row r="24" spans="2:7" x14ac:dyDescent="0.25">
      <c r="B24" t="str">
        <f>IF(REPORT_LANG="UKR","курс до USD","exchange rate to USD")</f>
        <v>курс до USD</v>
      </c>
    </row>
    <row r="25" spans="2:7" x14ac:dyDescent="0.25">
      <c r="B25" t="str">
        <f>IF(REPORT_LANG="UKR","курс до UAH","exchange rate to UAH")</f>
        <v>курс до UAH</v>
      </c>
    </row>
    <row r="26" spans="2:7" ht="50" x14ac:dyDescent="0.25">
      <c r="B26" s="147" t="str">
        <f>IF(REPORT_LANG="UKR","Структура боргу за типом ставки на кінець попереднього року та звітну дату","Debt structure by rate type at the end of the previous year and reporting date")</f>
        <v>Структура боргу за типом ставки на кінець попереднього року та звітну дату</v>
      </c>
    </row>
    <row r="27" spans="2:7" ht="50" x14ac:dyDescent="0.25">
      <c r="B27" s="147"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row>
    <row r="28" spans="2:7" ht="50" x14ac:dyDescent="0.25">
      <c r="B28" s="147" t="str">
        <f>IF(REPORT_LANG="UKR","Загальна сума державного та гарантованого державою боргу","The total amount of state and state-guaranteed debt")</f>
        <v>Загальна сума державного та гарантованого державою боргу</v>
      </c>
      <c r="C28" s="147" t="str">
        <f>IF(REPORT_LANG="UKR","Державний та гарантований державою борг України","State and state-guaranteed debt of Ukraine")</f>
        <v>Державний та гарантований державою борг України</v>
      </c>
    </row>
    <row r="29" spans="2:7" x14ac:dyDescent="0.25">
      <c r="B29" s="147" t="str">
        <f>IF(REPORT_LANG="UKR","В тому числі:","Including:")</f>
        <v>В тому числі:</v>
      </c>
    </row>
    <row r="30" spans="2:7" ht="37.5" x14ac:dyDescent="0.25">
      <c r="B30" s="147" t="str">
        <f>IF(REPORT_LANG="UKR","Середня ставка,
%","average rate,
%")</f>
        <v>Середня ставка,
%</v>
      </c>
      <c r="C30" s="147" t="str">
        <f>IF(REPORT_LANG="UKR","Середній термін обігу, років.","Average term of circulation, years.")</f>
        <v>Середній термін обігу, років.</v>
      </c>
      <c r="D30" s="147" t="str">
        <f>IF(REPORT_LANG="UKR","Середній термін до погашення, років.","Average term to repayment, years.")</f>
        <v>Середній термін до погашення, років.</v>
      </c>
      <c r="E30" s="147" t="str">
        <f>IF(REPORT_LANG="UKR","Сума боргу","Amount of debt")</f>
        <v>Сума боргу</v>
      </c>
      <c r="F30" s="147"/>
      <c r="G30" s="147"/>
    </row>
    <row r="31" spans="2:7" x14ac:dyDescent="0.25">
      <c r="B31" s="147"/>
    </row>
    <row r="32" spans="2:7" x14ac:dyDescent="0.25">
      <c r="B32" s="147"/>
    </row>
    <row r="33" spans="2:2" x14ac:dyDescent="0.25">
      <c r="B33" s="147"/>
    </row>
    <row r="34" spans="2:2" x14ac:dyDescent="0.25">
      <c r="B34" s="147"/>
    </row>
    <row r="35" spans="2:2" x14ac:dyDescent="0.25">
      <c r="B35" s="147"/>
    </row>
    <row r="36" spans="2:2" x14ac:dyDescent="0.25">
      <c r="B36" s="147"/>
    </row>
    <row r="37" spans="2:2" x14ac:dyDescent="0.25">
      <c r="B37" s="147"/>
    </row>
    <row r="38" spans="2:2" x14ac:dyDescent="0.25">
      <c r="B38" s="147"/>
    </row>
    <row r="39" spans="2:2" x14ac:dyDescent="0.25">
      <c r="B39" s="147"/>
    </row>
    <row r="40" spans="2:2" x14ac:dyDescent="0.25">
      <c r="B40" s="147"/>
    </row>
    <row r="41" spans="2:2" x14ac:dyDescent="0.25">
      <c r="B41" s="147"/>
    </row>
    <row r="42" spans="2:2" x14ac:dyDescent="0.25">
      <c r="B42" s="147"/>
    </row>
    <row r="43" spans="2:2" x14ac:dyDescent="0.25">
      <c r="B43" s="147"/>
    </row>
    <row r="44" spans="2:2" x14ac:dyDescent="0.25">
      <c r="B44" s="147"/>
    </row>
    <row r="45" spans="2:2" x14ac:dyDescent="0.25">
      <c r="B45" s="147"/>
    </row>
    <row r="46" spans="2:2" x14ac:dyDescent="0.25">
      <c r="B46" s="147"/>
    </row>
    <row r="47" spans="2:2" x14ac:dyDescent="0.25">
      <c r="B47" s="147"/>
    </row>
    <row r="48" spans="2:2" x14ac:dyDescent="0.25">
      <c r="B48" s="147"/>
    </row>
    <row r="49" spans="2:2" x14ac:dyDescent="0.25">
      <c r="B49" s="147"/>
    </row>
    <row r="50" spans="2:2" x14ac:dyDescent="0.25">
      <c r="B50" s="147"/>
    </row>
    <row r="51" spans="2:2" x14ac:dyDescent="0.25">
      <c r="B51" s="147"/>
    </row>
    <row r="52" spans="2:2" x14ac:dyDescent="0.25">
      <c r="B52" s="147"/>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3" customFormat="1" ht="13" x14ac:dyDescent="0.3"/>
    <row r="8" s="4"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I180"/>
  <sheetViews>
    <sheetView workbookViewId="0">
      <selection activeCell="H9" sqref="H9"/>
    </sheetView>
  </sheetViews>
  <sheetFormatPr defaultColWidth="9.1796875" defaultRowHeight="10.5" outlineLevelRow="4" x14ac:dyDescent="0.25"/>
  <cols>
    <col min="1" max="1" width="52" style="8" customWidth="1"/>
    <col min="2" max="4" width="15.1796875" style="9" customWidth="1"/>
    <col min="5" max="5" width="9.1796875" style="8" customWidth="1"/>
    <col min="6" max="16384" width="9.1796875" style="8"/>
  </cols>
  <sheetData>
    <row r="1" spans="1:9" s="22" customFormat="1" ht="13" x14ac:dyDescent="0.3">
      <c r="B1" s="23"/>
      <c r="C1" s="23"/>
      <c r="D1" s="23"/>
    </row>
    <row r="2" spans="1:9" s="22" customFormat="1" ht="18.5" x14ac:dyDescent="0.3">
      <c r="A2" s="1"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1"/>
      <c r="C2" s="1"/>
      <c r="D2" s="1"/>
      <c r="E2" s="7"/>
      <c r="F2" s="7"/>
      <c r="G2" s="7"/>
      <c r="H2" s="7"/>
      <c r="I2" s="7"/>
    </row>
    <row r="3" spans="1:9" s="22" customFormat="1" ht="13" x14ac:dyDescent="0.3">
      <c r="A3" s="24"/>
      <c r="B3" s="23"/>
      <c r="C3" s="23"/>
      <c r="D3" s="23"/>
    </row>
    <row r="4" spans="1:9" s="27" customFormat="1" ht="13" x14ac:dyDescent="0.3">
      <c r="B4" s="28"/>
      <c r="C4" s="28"/>
      <c r="D4" s="28" t="str">
        <f>VALUSD</f>
        <v>млрд. дол. США</v>
      </c>
    </row>
    <row r="5" spans="1:9" s="14" customFormat="1" ht="13" x14ac:dyDescent="0.25">
      <c r="A5" s="12"/>
      <c r="B5" s="13">
        <v>45657</v>
      </c>
      <c r="C5" s="13">
        <v>45688</v>
      </c>
      <c r="D5" s="13">
        <v>45716</v>
      </c>
    </row>
    <row r="6" spans="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B$80+B$7</f>
        <v>166.05925130834001</v>
      </c>
      <c r="C6" s="21">
        <f>C$80+C$7</f>
        <v>168.99339180672001</v>
      </c>
      <c r="D6" s="21">
        <f>D$80+D$7</f>
        <v>169.08837600780004</v>
      </c>
    </row>
    <row r="7" spans="1:9" s="127" customFormat="1" ht="14.5" outlineLevel="1" x14ac:dyDescent="0.25">
      <c r="A7" s="168" t="s">
        <v>1</v>
      </c>
      <c r="B7" s="169">
        <f>B$8+B$43</f>
        <v>159.19631191121002</v>
      </c>
      <c r="C7" s="169">
        <f>C$8+C$43</f>
        <v>162.08074951225001</v>
      </c>
      <c r="D7" s="169">
        <f>D$8+D$43</f>
        <v>162.35879084802002</v>
      </c>
    </row>
    <row r="8" spans="1:9" s="17" customFormat="1" ht="14.5" outlineLevel="2" x14ac:dyDescent="0.25">
      <c r="A8" s="170" t="s">
        <v>57</v>
      </c>
      <c r="B8" s="171">
        <f>B$9+B$41</f>
        <v>44.319135028530013</v>
      </c>
      <c r="C8" s="171">
        <f>C$9+C$41</f>
        <v>44.354591580760001</v>
      </c>
      <c r="D8" s="171">
        <f>D$9+D$41</f>
        <v>44.313178305210002</v>
      </c>
    </row>
    <row r="9" spans="1:9" s="18" customFormat="1" ht="13" outlineLevel="3" x14ac:dyDescent="0.25">
      <c r="A9" s="172" t="s">
        <v>58</v>
      </c>
      <c r="B9" s="173">
        <f>SUM(B$10:B$40)</f>
        <v>44.284529596720013</v>
      </c>
      <c r="C9" s="173">
        <f>SUM(C$10:C$40)</f>
        <v>44.319808422980003</v>
      </c>
      <c r="D9" s="173">
        <f>SUM(D$10:D$40)</f>
        <v>44.278135241480001</v>
      </c>
    </row>
    <row r="10" spans="1:9" s="20" customFormat="1" ht="13" outlineLevel="4" x14ac:dyDescent="0.25">
      <c r="A10" s="174" t="s">
        <v>59</v>
      </c>
      <c r="B10" s="166">
        <v>1.39466778468</v>
      </c>
      <c r="C10" s="166">
        <v>1.40183049526</v>
      </c>
      <c r="D10" s="166">
        <v>1.4123052223300001</v>
      </c>
    </row>
    <row r="11" spans="1:9" ht="13" outlineLevel="4" x14ac:dyDescent="0.3">
      <c r="A11" s="175" t="s">
        <v>60</v>
      </c>
      <c r="B11" s="176">
        <v>0.41706510620999998</v>
      </c>
      <c r="C11" s="176">
        <v>0.41920706195000002</v>
      </c>
      <c r="D11" s="176">
        <v>0.42233945175999998</v>
      </c>
      <c r="E11" s="11"/>
      <c r="F11" s="11"/>
      <c r="G11" s="11"/>
    </row>
    <row r="12" spans="1:9" ht="13" outlineLevel="4" x14ac:dyDescent="0.3">
      <c r="A12" s="175" t="s">
        <v>61</v>
      </c>
      <c r="B12" s="176">
        <v>9.0706825079999998E-2</v>
      </c>
      <c r="C12" s="176">
        <v>9.030737103E-2</v>
      </c>
      <c r="D12" s="176">
        <v>9.0949752080000001E-2</v>
      </c>
      <c r="E12" s="11"/>
      <c r="F12" s="11"/>
      <c r="G12" s="11"/>
    </row>
    <row r="13" spans="1:9" ht="13" outlineLevel="4" x14ac:dyDescent="0.3">
      <c r="A13" s="175" t="s">
        <v>62</v>
      </c>
      <c r="B13" s="176">
        <v>1.18937177385</v>
      </c>
      <c r="C13" s="176">
        <v>1.1954801287500001</v>
      </c>
      <c r="D13" s="176">
        <v>1.2044129691300001</v>
      </c>
      <c r="E13" s="11"/>
      <c r="F13" s="11"/>
      <c r="G13" s="11"/>
    </row>
    <row r="14" spans="1:9" ht="13" outlineLevel="4" x14ac:dyDescent="0.3">
      <c r="A14" s="175" t="s">
        <v>63</v>
      </c>
      <c r="B14" s="176">
        <v>0.80163659936999998</v>
      </c>
      <c r="C14" s="176">
        <v>0.80575363068000005</v>
      </c>
      <c r="D14" s="176">
        <v>0.81177436528000002</v>
      </c>
      <c r="E14" s="11"/>
      <c r="F14" s="11"/>
      <c r="G14" s="11"/>
    </row>
    <row r="15" spans="1:9" ht="13" outlineLevel="4" x14ac:dyDescent="0.3">
      <c r="A15" s="175" t="s">
        <v>64</v>
      </c>
      <c r="B15" s="176">
        <v>1.1156307239000001</v>
      </c>
      <c r="C15" s="176">
        <v>1.12136036076</v>
      </c>
      <c r="D15" s="176">
        <v>1.1297393650300001</v>
      </c>
      <c r="E15" s="11"/>
      <c r="F15" s="11"/>
      <c r="G15" s="11"/>
    </row>
    <row r="16" spans="1:9" ht="13" outlineLevel="4" x14ac:dyDescent="0.3">
      <c r="A16" s="175" t="s">
        <v>65</v>
      </c>
      <c r="B16" s="176">
        <v>5.3641408454299997</v>
      </c>
      <c r="C16" s="176">
        <v>5.3916899068299999</v>
      </c>
      <c r="D16" s="176">
        <v>5.4319775738300002</v>
      </c>
      <c r="E16" s="11"/>
      <c r="F16" s="11"/>
      <c r="G16" s="11"/>
    </row>
    <row r="17" spans="1:7" ht="13" outlineLevel="4" x14ac:dyDescent="0.3">
      <c r="A17" s="175" t="s">
        <v>66</v>
      </c>
      <c r="B17" s="176">
        <v>0.28777430481999999</v>
      </c>
      <c r="C17" s="176">
        <v>0.28925225108000002</v>
      </c>
      <c r="D17" s="176">
        <v>0.29141359542</v>
      </c>
      <c r="E17" s="11"/>
      <c r="F17" s="11"/>
      <c r="G17" s="11"/>
    </row>
    <row r="18" spans="1:7" ht="13" outlineLevel="4" x14ac:dyDescent="0.3">
      <c r="A18" s="175" t="s">
        <v>67</v>
      </c>
      <c r="B18" s="176">
        <v>0.64458583697000005</v>
      </c>
      <c r="C18" s="176">
        <v>0.64789628970000002</v>
      </c>
      <c r="D18" s="176">
        <v>0.65273748616000005</v>
      </c>
      <c r="E18" s="11"/>
      <c r="F18" s="11"/>
      <c r="G18" s="11"/>
    </row>
    <row r="19" spans="1:7" ht="13" outlineLevel="4" x14ac:dyDescent="0.3">
      <c r="A19" s="175" t="s">
        <v>68</v>
      </c>
      <c r="B19" s="176">
        <v>6.77509038007</v>
      </c>
      <c r="C19" s="176">
        <v>6.4902280713799998</v>
      </c>
      <c r="D19" s="176">
        <v>6.8226534519399999</v>
      </c>
      <c r="E19" s="11"/>
      <c r="F19" s="11"/>
      <c r="G19" s="11"/>
    </row>
    <row r="20" spans="1:7" ht="13" outlineLevel="4" x14ac:dyDescent="0.3">
      <c r="A20" s="175" t="s">
        <v>69</v>
      </c>
      <c r="B20" s="176">
        <v>0.28777430481999999</v>
      </c>
      <c r="C20" s="176">
        <v>0.28925225108000002</v>
      </c>
      <c r="D20" s="176">
        <v>0.29141359542</v>
      </c>
      <c r="E20" s="11"/>
      <c r="F20" s="11"/>
      <c r="G20" s="11"/>
    </row>
    <row r="21" spans="1:7" ht="13" outlineLevel="4" x14ac:dyDescent="0.3">
      <c r="A21" s="175" t="s">
        <v>70</v>
      </c>
      <c r="B21" s="176">
        <v>0.28777430481999999</v>
      </c>
      <c r="C21" s="176">
        <v>0.28925225108000002</v>
      </c>
      <c r="D21" s="176">
        <v>0.29141359542</v>
      </c>
      <c r="E21" s="11"/>
      <c r="F21" s="11"/>
      <c r="G21" s="11"/>
    </row>
    <row r="22" spans="1:7" ht="13" outlineLevel="4" x14ac:dyDescent="0.3">
      <c r="A22" s="175" t="s">
        <v>71</v>
      </c>
      <c r="B22" s="176">
        <v>6.7944584315099998</v>
      </c>
      <c r="C22" s="176">
        <v>6.4784971140799996</v>
      </c>
      <c r="D22" s="176">
        <v>6.6188429927100003</v>
      </c>
      <c r="E22" s="11"/>
      <c r="F22" s="11"/>
      <c r="G22" s="11"/>
    </row>
    <row r="23" spans="1:7" ht="13" outlineLevel="4" x14ac:dyDescent="0.3">
      <c r="A23" s="175" t="s">
        <v>72</v>
      </c>
      <c r="B23" s="176">
        <v>0.28777430481999999</v>
      </c>
      <c r="C23" s="176">
        <v>0.28925225108000002</v>
      </c>
      <c r="D23" s="176">
        <v>0.29141359542</v>
      </c>
      <c r="E23" s="11"/>
      <c r="F23" s="11"/>
      <c r="G23" s="11"/>
    </row>
    <row r="24" spans="1:7" ht="13" outlineLevel="4" x14ac:dyDescent="0.3">
      <c r="A24" s="175" t="s">
        <v>73</v>
      </c>
      <c r="B24" s="176">
        <v>0.28777430481999999</v>
      </c>
      <c r="C24" s="176">
        <v>0.28925225108000002</v>
      </c>
      <c r="D24" s="176">
        <v>0.29141359542</v>
      </c>
      <c r="E24" s="11"/>
      <c r="F24" s="11"/>
      <c r="G24" s="11"/>
    </row>
    <row r="25" spans="1:7" ht="13" outlineLevel="4" x14ac:dyDescent="0.3">
      <c r="A25" s="175" t="s">
        <v>74</v>
      </c>
      <c r="B25" s="176">
        <v>0.28777430481999999</v>
      </c>
      <c r="C25" s="176">
        <v>0.28925225108000002</v>
      </c>
      <c r="D25" s="176">
        <v>0.29141359542</v>
      </c>
      <c r="E25" s="11"/>
      <c r="F25" s="11"/>
      <c r="G25" s="11"/>
    </row>
    <row r="26" spans="1:7" ht="13" outlineLevel="4" x14ac:dyDescent="0.3">
      <c r="A26" s="175" t="s">
        <v>75</v>
      </c>
      <c r="B26" s="176">
        <v>0.28777430481999999</v>
      </c>
      <c r="C26" s="176">
        <v>0.28925225108000002</v>
      </c>
      <c r="D26" s="176">
        <v>0.29141359542</v>
      </c>
      <c r="E26" s="11"/>
      <c r="F26" s="11"/>
      <c r="G26" s="11"/>
    </row>
    <row r="27" spans="1:7" ht="13" outlineLevel="4" x14ac:dyDescent="0.3">
      <c r="A27" s="175" t="s">
        <v>76</v>
      </c>
      <c r="B27" s="176">
        <v>0.28777430481999999</v>
      </c>
      <c r="C27" s="176">
        <v>0.28925225108000002</v>
      </c>
      <c r="D27" s="176">
        <v>0.29141359542</v>
      </c>
      <c r="E27" s="11"/>
      <c r="F27" s="11"/>
      <c r="G27" s="11"/>
    </row>
    <row r="28" spans="1:7" ht="13" outlineLevel="4" x14ac:dyDescent="0.3">
      <c r="A28" s="175" t="s">
        <v>77</v>
      </c>
      <c r="B28" s="176">
        <v>0.28777430481999999</v>
      </c>
      <c r="C28" s="176">
        <v>0.28925225108000002</v>
      </c>
      <c r="D28" s="176">
        <v>0.29141359542</v>
      </c>
      <c r="E28" s="11"/>
      <c r="F28" s="11"/>
      <c r="G28" s="11"/>
    </row>
    <row r="29" spans="1:7" ht="13" outlineLevel="4" x14ac:dyDescent="0.3">
      <c r="A29" s="175" t="s">
        <v>78</v>
      </c>
      <c r="B29" s="176">
        <v>0.28777430481999999</v>
      </c>
      <c r="C29" s="176">
        <v>0.28925225108000002</v>
      </c>
      <c r="D29" s="176">
        <v>0.29141359542</v>
      </c>
      <c r="E29" s="11"/>
      <c r="F29" s="11"/>
      <c r="G29" s="11"/>
    </row>
    <row r="30" spans="1:7" ht="13" outlineLevel="4" x14ac:dyDescent="0.3">
      <c r="A30" s="175" t="s">
        <v>79</v>
      </c>
      <c r="B30" s="176">
        <v>0.28777430481999999</v>
      </c>
      <c r="C30" s="176">
        <v>0.28925225108000002</v>
      </c>
      <c r="D30" s="176">
        <v>0.29141359542</v>
      </c>
      <c r="E30" s="11"/>
      <c r="F30" s="11"/>
      <c r="G30" s="11"/>
    </row>
    <row r="31" spans="1:7" ht="13" outlineLevel="4" x14ac:dyDescent="0.3">
      <c r="A31" s="175" t="s">
        <v>80</v>
      </c>
      <c r="B31" s="176">
        <v>0.28777430481999999</v>
      </c>
      <c r="C31" s="176">
        <v>0.28925225108000002</v>
      </c>
      <c r="D31" s="176">
        <v>0.29141359542</v>
      </c>
      <c r="E31" s="11"/>
      <c r="F31" s="11"/>
      <c r="G31" s="11"/>
    </row>
    <row r="32" spans="1:7" ht="13" outlineLevel="4" x14ac:dyDescent="0.3">
      <c r="A32" s="175" t="s">
        <v>81</v>
      </c>
      <c r="B32" s="176">
        <v>0.28777430481999999</v>
      </c>
      <c r="C32" s="176">
        <v>0.28925225108000002</v>
      </c>
      <c r="D32" s="176">
        <v>0.29141359542</v>
      </c>
      <c r="E32" s="11"/>
      <c r="F32" s="11"/>
      <c r="G32" s="11"/>
    </row>
    <row r="33" spans="1:7" ht="13" outlineLevel="4" x14ac:dyDescent="0.3">
      <c r="A33" s="175" t="s">
        <v>83</v>
      </c>
      <c r="B33" s="176">
        <v>6.7689049215299999</v>
      </c>
      <c r="C33" s="176">
        <v>6.8046987867600004</v>
      </c>
      <c r="D33" s="176">
        <v>7.0964273016100003</v>
      </c>
      <c r="E33" s="11"/>
      <c r="F33" s="11"/>
      <c r="G33" s="11"/>
    </row>
    <row r="34" spans="1:7" ht="13" outlineLevel="4" x14ac:dyDescent="0.3">
      <c r="A34" s="175" t="s">
        <v>84</v>
      </c>
      <c r="B34" s="176">
        <v>6.1156961631</v>
      </c>
      <c r="C34" s="176">
        <v>6.1471050492300003</v>
      </c>
      <c r="D34" s="176">
        <v>6.1930373127399996</v>
      </c>
      <c r="E34" s="11"/>
      <c r="F34" s="11"/>
      <c r="G34" s="11"/>
    </row>
    <row r="35" spans="1:7" ht="13" outlineLevel="4" x14ac:dyDescent="0.3">
      <c r="A35" s="175" t="s">
        <v>85</v>
      </c>
      <c r="B35" s="176">
        <v>0.38516142152999999</v>
      </c>
      <c r="C35" s="176">
        <v>0.86533157836999997</v>
      </c>
      <c r="D35" s="176">
        <v>0.87179748997999995</v>
      </c>
      <c r="E35" s="11"/>
      <c r="F35" s="11"/>
      <c r="G35" s="11"/>
    </row>
    <row r="36" spans="1:7" ht="13" outlineLevel="4" x14ac:dyDescent="0.3">
      <c r="A36" s="175" t="s">
        <v>86</v>
      </c>
      <c r="B36" s="176">
        <v>1.09586897881</v>
      </c>
      <c r="C36" s="176">
        <v>1.10149712366</v>
      </c>
      <c r="D36" s="176">
        <v>1.10972770632</v>
      </c>
      <c r="E36" s="11"/>
      <c r="F36" s="11"/>
      <c r="G36" s="11"/>
    </row>
    <row r="37" spans="1:7" ht="13" outlineLevel="4" x14ac:dyDescent="0.3">
      <c r="A37" s="175" t="s">
        <v>88</v>
      </c>
      <c r="B37" s="176">
        <v>0.97719753088000005</v>
      </c>
      <c r="C37" s="176">
        <v>0.98221620497999995</v>
      </c>
      <c r="D37" s="176">
        <v>0</v>
      </c>
      <c r="E37" s="11"/>
      <c r="F37" s="11"/>
      <c r="G37" s="11"/>
    </row>
    <row r="38" spans="1:7" ht="13" outlineLevel="4" x14ac:dyDescent="0.3">
      <c r="A38" s="175" t="s">
        <v>89</v>
      </c>
      <c r="B38" s="176">
        <v>0.42298082732999998</v>
      </c>
      <c r="C38" s="176">
        <v>0.42515316491999999</v>
      </c>
      <c r="D38" s="176">
        <v>0.42832998505999997</v>
      </c>
      <c r="E38" s="11"/>
      <c r="F38" s="11"/>
      <c r="G38" s="11"/>
    </row>
    <row r="39" spans="1:7" ht="13" outlineLevel="4" x14ac:dyDescent="0.3">
      <c r="A39" s="175" t="s">
        <v>90</v>
      </c>
      <c r="B39" s="176">
        <v>5.9468588689999997E-2</v>
      </c>
      <c r="C39" s="176">
        <v>5.9774006439999999E-2</v>
      </c>
      <c r="D39" s="176">
        <v>6.0220648459999998E-2</v>
      </c>
      <c r="E39" s="11"/>
      <c r="F39" s="11"/>
      <c r="G39" s="11"/>
    </row>
    <row r="40" spans="1:7" ht="13" outlineLevel="4" x14ac:dyDescent="0.3">
      <c r="A40" s="175" t="s">
        <v>92</v>
      </c>
      <c r="B40" s="176">
        <v>0.13083089512000001</v>
      </c>
      <c r="C40" s="176">
        <v>0.13150281416000001</v>
      </c>
      <c r="D40" s="176">
        <v>0.13248542660000001</v>
      </c>
      <c r="E40" s="11"/>
      <c r="F40" s="11"/>
      <c r="G40" s="11"/>
    </row>
    <row r="41" spans="1:7" ht="13" outlineLevel="3" x14ac:dyDescent="0.3">
      <c r="A41" s="177" t="s">
        <v>93</v>
      </c>
      <c r="B41" s="176">
        <f>SUM(B$42:B$42)</f>
        <v>3.4605431809999997E-2</v>
      </c>
      <c r="C41" s="176">
        <f>SUM(C$42:C$42)</f>
        <v>3.4783157779999997E-2</v>
      </c>
      <c r="D41" s="176">
        <f>SUM(D$42:D$42)</f>
        <v>3.5043063729999997E-2</v>
      </c>
      <c r="E41" s="11"/>
      <c r="F41" s="11"/>
      <c r="G41" s="11"/>
    </row>
    <row r="42" spans="1:7" ht="13" outlineLevel="4" x14ac:dyDescent="0.3">
      <c r="A42" s="175" t="s">
        <v>94</v>
      </c>
      <c r="B42" s="176">
        <v>3.4605431809999997E-2</v>
      </c>
      <c r="C42" s="176">
        <v>3.4783157779999997E-2</v>
      </c>
      <c r="D42" s="176">
        <v>3.5043063729999997E-2</v>
      </c>
      <c r="E42" s="11"/>
      <c r="F42" s="11"/>
      <c r="G42" s="11"/>
    </row>
    <row r="43" spans="1:7" ht="14.5" outlineLevel="2" x14ac:dyDescent="0.35">
      <c r="A43" s="178" t="s">
        <v>95</v>
      </c>
      <c r="B43" s="179">
        <f>B$44+B$54+B$65+B$67+B$74+B$76+B$78</f>
        <v>114.87717688268</v>
      </c>
      <c r="C43" s="179">
        <f>C$44+C$54+C$65+C$67+C$74+C$76+C$78</f>
        <v>117.72615793149001</v>
      </c>
      <c r="D43" s="179">
        <f>D$44+D$54+D$65+D$67+D$74+D$76+D$78</f>
        <v>118.04561254281001</v>
      </c>
      <c r="E43" s="11"/>
      <c r="F43" s="11"/>
      <c r="G43" s="11"/>
    </row>
    <row r="44" spans="1:7" ht="13" outlineLevel="3" x14ac:dyDescent="0.3">
      <c r="A44" s="177" t="s">
        <v>96</v>
      </c>
      <c r="B44" s="176">
        <f>SUM(B$45:B$53)</f>
        <v>82.827489272820003</v>
      </c>
      <c r="C44" s="176">
        <f>SUM(C$45:C$53)</f>
        <v>85.682436081909998</v>
      </c>
      <c r="D44" s="176">
        <f>SUM(D$45:D$53)</f>
        <v>85.946924079140004</v>
      </c>
      <c r="E44" s="11"/>
      <c r="F44" s="11"/>
      <c r="G44" s="11"/>
    </row>
    <row r="45" spans="1:7" ht="13" outlineLevel="4" x14ac:dyDescent="0.3">
      <c r="A45" s="175" t="s">
        <v>97</v>
      </c>
      <c r="B45" s="176">
        <v>1.146224364E-2</v>
      </c>
      <c r="C45" s="176">
        <v>1.141176629E-2</v>
      </c>
      <c r="D45" s="176">
        <v>1.1492941309999999E-2</v>
      </c>
      <c r="E45" s="11"/>
      <c r="F45" s="11"/>
      <c r="G45" s="11"/>
    </row>
    <row r="46" spans="1:7" ht="13" outlineLevel="4" x14ac:dyDescent="0.3">
      <c r="A46" s="175" t="s">
        <v>98</v>
      </c>
      <c r="B46" s="176">
        <v>0.12100019522</v>
      </c>
      <c r="C46" s="176">
        <v>0.12264145765999999</v>
      </c>
      <c r="D46" s="176">
        <v>0.12351383991999999</v>
      </c>
      <c r="E46" s="11"/>
      <c r="F46" s="11"/>
      <c r="G46" s="11"/>
    </row>
    <row r="47" spans="1:7" ht="13" outlineLevel="4" x14ac:dyDescent="0.3">
      <c r="A47" s="175" t="s">
        <v>99</v>
      </c>
      <c r="B47" s="176">
        <v>0.10114868791000001</v>
      </c>
      <c r="C47" s="176">
        <v>0.10236772948</v>
      </c>
      <c r="D47" s="176">
        <v>0.10309589916</v>
      </c>
      <c r="E47" s="11"/>
      <c r="F47" s="11"/>
      <c r="G47" s="11"/>
    </row>
    <row r="48" spans="1:7" ht="13" outlineLevel="4" x14ac:dyDescent="0.3">
      <c r="A48" s="175" t="s">
        <v>100</v>
      </c>
      <c r="B48" s="176">
        <v>2.9522925032999998</v>
      </c>
      <c r="C48" s="176">
        <v>2.9392912192699998</v>
      </c>
      <c r="D48" s="176">
        <v>2.9481677742899999</v>
      </c>
      <c r="E48" s="11"/>
      <c r="F48" s="11"/>
      <c r="G48" s="11"/>
    </row>
    <row r="49" spans="1:7" ht="13" outlineLevel="4" x14ac:dyDescent="0.3">
      <c r="A49" s="175" t="s">
        <v>101</v>
      </c>
      <c r="B49" s="176">
        <v>44.012826736089998</v>
      </c>
      <c r="C49" s="176">
        <v>46.939902278479998</v>
      </c>
      <c r="D49" s="176">
        <v>47.273798653260002</v>
      </c>
      <c r="E49" s="11"/>
      <c r="F49" s="11"/>
      <c r="G49" s="11"/>
    </row>
    <row r="50" spans="1:7" ht="13" outlineLevel="4" x14ac:dyDescent="0.3">
      <c r="A50" s="175" t="s">
        <v>102</v>
      </c>
      <c r="B50" s="176">
        <v>5.7900951672299996</v>
      </c>
      <c r="C50" s="176">
        <v>5.7857432505200004</v>
      </c>
      <c r="D50" s="176">
        <v>5.7927417747199996</v>
      </c>
      <c r="E50" s="11"/>
      <c r="F50" s="11"/>
      <c r="G50" s="11"/>
    </row>
    <row r="51" spans="1:7" ht="13" outlineLevel="4" x14ac:dyDescent="0.3">
      <c r="A51" s="175" t="s">
        <v>103</v>
      </c>
      <c r="B51" s="176">
        <v>16.17518239755</v>
      </c>
      <c r="C51" s="176">
        <v>16.12363642791</v>
      </c>
      <c r="D51" s="176">
        <v>16.06466800155</v>
      </c>
      <c r="E51" s="11"/>
      <c r="F51" s="11"/>
      <c r="G51" s="11"/>
    </row>
    <row r="52" spans="1:7" ht="13" outlineLevel="4" x14ac:dyDescent="0.3">
      <c r="A52" s="175" t="s">
        <v>104</v>
      </c>
      <c r="B52" s="176">
        <v>13.54928616023</v>
      </c>
      <c r="C52" s="176">
        <v>13.546070791269999</v>
      </c>
      <c r="D52" s="176">
        <v>13.518056602030001</v>
      </c>
      <c r="E52" s="11"/>
      <c r="F52" s="11"/>
      <c r="G52" s="11"/>
    </row>
    <row r="53" spans="1:7" ht="13" outlineLevel="4" x14ac:dyDescent="0.3">
      <c r="A53" s="175" t="s">
        <v>105</v>
      </c>
      <c r="B53" s="176">
        <v>0.11419518165</v>
      </c>
      <c r="C53" s="176">
        <v>0.11137116103</v>
      </c>
      <c r="D53" s="176">
        <v>0.1113885929</v>
      </c>
      <c r="E53" s="11"/>
      <c r="F53" s="11"/>
      <c r="G53" s="11"/>
    </row>
    <row r="54" spans="1:7" ht="13" outlineLevel="3" x14ac:dyDescent="0.3">
      <c r="A54" s="177" t="s">
        <v>106</v>
      </c>
      <c r="B54" s="176">
        <f>SUM(B$55:B$64)</f>
        <v>7.6299116025599991</v>
      </c>
      <c r="C54" s="176">
        <f>SUM(C$55:C$64)</f>
        <v>7.6327936194299983</v>
      </c>
      <c r="D54" s="176">
        <f>SUM(D$55:D$64)</f>
        <v>7.6909776344599985</v>
      </c>
      <c r="E54" s="11"/>
      <c r="F54" s="11"/>
      <c r="G54" s="11"/>
    </row>
    <row r="55" spans="1:7" ht="13" outlineLevel="4" x14ac:dyDescent="0.3">
      <c r="A55" s="175" t="s">
        <v>107</v>
      </c>
      <c r="B55" s="176">
        <v>2.3872949189999999E-2</v>
      </c>
      <c r="C55" s="176">
        <v>2.3573482779999998E-2</v>
      </c>
      <c r="D55" s="176">
        <v>2.401513777E-2</v>
      </c>
      <c r="E55" s="11"/>
      <c r="F55" s="11"/>
      <c r="G55" s="11"/>
    </row>
    <row r="56" spans="1:7" ht="13" outlineLevel="4" x14ac:dyDescent="0.3">
      <c r="A56" s="175" t="s">
        <v>108</v>
      </c>
      <c r="B56" s="176">
        <v>0.20898023264000001</v>
      </c>
      <c r="C56" s="176">
        <v>0.20805992703000001</v>
      </c>
      <c r="D56" s="176">
        <v>0.20953991424999999</v>
      </c>
      <c r="E56" s="11"/>
      <c r="F56" s="11"/>
      <c r="G56" s="11"/>
    </row>
    <row r="57" spans="1:7" ht="13" outlineLevel="4" x14ac:dyDescent="0.3">
      <c r="A57" s="175" t="s">
        <v>109</v>
      </c>
      <c r="B57" s="176">
        <v>5.0846934205799998</v>
      </c>
      <c r="C57" s="176">
        <v>5.0762376290800004</v>
      </c>
      <c r="D57" s="176">
        <v>5.0945019915599996</v>
      </c>
      <c r="E57" s="11"/>
      <c r="F57" s="11"/>
      <c r="G57" s="11"/>
    </row>
    <row r="58" spans="1:7" ht="13" outlineLevel="4" x14ac:dyDescent="0.3">
      <c r="A58" s="175" t="s">
        <v>110</v>
      </c>
      <c r="B58" s="176">
        <v>0.20898023264000001</v>
      </c>
      <c r="C58" s="176">
        <v>0.20805992703000001</v>
      </c>
      <c r="D58" s="176">
        <v>0.20953991424999999</v>
      </c>
      <c r="E58" s="11"/>
      <c r="F58" s="11"/>
      <c r="G58" s="11"/>
    </row>
    <row r="59" spans="1:7" ht="13" outlineLevel="4" x14ac:dyDescent="0.3">
      <c r="A59" s="175" t="s">
        <v>111</v>
      </c>
      <c r="B59" s="176">
        <v>0.58744407237999996</v>
      </c>
      <c r="C59" s="176">
        <v>0.58485709050000001</v>
      </c>
      <c r="D59" s="176">
        <v>0.59096369179999997</v>
      </c>
      <c r="E59" s="11"/>
      <c r="F59" s="11"/>
      <c r="G59" s="11"/>
    </row>
    <row r="60" spans="1:7" ht="13" outlineLevel="4" x14ac:dyDescent="0.3">
      <c r="A60" s="175" t="s">
        <v>112</v>
      </c>
      <c r="B60" s="176">
        <v>0.10378189140999999</v>
      </c>
      <c r="C60" s="176">
        <v>0.10332485748</v>
      </c>
      <c r="D60" s="176">
        <v>0.10405983548</v>
      </c>
      <c r="E60" s="11"/>
      <c r="F60" s="11"/>
      <c r="G60" s="11"/>
    </row>
    <row r="61" spans="1:7" ht="13" outlineLevel="4" x14ac:dyDescent="0.3">
      <c r="A61" s="175" t="s">
        <v>113</v>
      </c>
      <c r="B61" s="176">
        <v>0.1</v>
      </c>
      <c r="C61" s="176">
        <v>0.1</v>
      </c>
      <c r="D61" s="176">
        <v>0.1</v>
      </c>
      <c r="E61" s="11"/>
      <c r="F61" s="11"/>
      <c r="G61" s="11"/>
    </row>
    <row r="62" spans="1:7" ht="13" outlineLevel="4" x14ac:dyDescent="0.3">
      <c r="A62" s="175" t="s">
        <v>114</v>
      </c>
      <c r="B62" s="176">
        <v>5.1251526E-4</v>
      </c>
      <c r="C62" s="176">
        <v>5.1251526E-4</v>
      </c>
      <c r="D62" s="176">
        <v>5.1251526E-4</v>
      </c>
      <c r="E62" s="11"/>
      <c r="F62" s="11"/>
      <c r="G62" s="11"/>
    </row>
    <row r="63" spans="1:7" ht="13" outlineLevel="4" x14ac:dyDescent="0.3">
      <c r="A63" s="175" t="s">
        <v>115</v>
      </c>
      <c r="B63" s="176">
        <v>0.46506189307000001</v>
      </c>
      <c r="C63" s="176">
        <v>0.46301385692000002</v>
      </c>
      <c r="D63" s="176">
        <v>0.46630740122999997</v>
      </c>
      <c r="E63" s="11"/>
      <c r="F63" s="11"/>
      <c r="G63" s="11"/>
    </row>
    <row r="64" spans="1:7" ht="13" outlineLevel="4" x14ac:dyDescent="0.3">
      <c r="A64" s="175" t="s">
        <v>116</v>
      </c>
      <c r="B64" s="176">
        <v>0.84658439538999997</v>
      </c>
      <c r="C64" s="176">
        <v>0.86515433335000003</v>
      </c>
      <c r="D64" s="176">
        <v>0.89153723285999997</v>
      </c>
      <c r="E64" s="11"/>
      <c r="F64" s="11"/>
      <c r="G64" s="11"/>
    </row>
    <row r="65" spans="1:7" ht="13" outlineLevel="3" x14ac:dyDescent="0.3">
      <c r="A65" s="177" t="s">
        <v>117</v>
      </c>
      <c r="B65" s="176">
        <f>SUM(B$66:B$66)</f>
        <v>0.60585586000000002</v>
      </c>
      <c r="C65" s="176">
        <f>SUM(C$66:C$66)</f>
        <v>0.60585586000000002</v>
      </c>
      <c r="D65" s="176">
        <f>SUM(D$66:D$66)</f>
        <v>0.60585586000000002</v>
      </c>
      <c r="E65" s="11"/>
      <c r="F65" s="11"/>
      <c r="G65" s="11"/>
    </row>
    <row r="66" spans="1:7" ht="13" outlineLevel="4" x14ac:dyDescent="0.3">
      <c r="A66" s="175" t="s">
        <v>118</v>
      </c>
      <c r="B66" s="176">
        <v>0.60585586000000002</v>
      </c>
      <c r="C66" s="176">
        <v>0.60585586000000002</v>
      </c>
      <c r="D66" s="176">
        <v>0.60585586000000002</v>
      </c>
      <c r="E66" s="11"/>
      <c r="F66" s="11"/>
      <c r="G66" s="11"/>
    </row>
    <row r="67" spans="1:7" ht="13" outlineLevel="3" x14ac:dyDescent="0.3">
      <c r="A67" s="177" t="s">
        <v>119</v>
      </c>
      <c r="B67" s="176">
        <f>SUM(B$68:B$73)</f>
        <v>1.4786194744199999</v>
      </c>
      <c r="C67" s="176">
        <f>SUM(C$68:C$73)</f>
        <v>1.4707484937299999</v>
      </c>
      <c r="D67" s="176">
        <f>SUM(D$68:D$73)</f>
        <v>1.45118764899</v>
      </c>
      <c r="E67" s="11"/>
      <c r="F67" s="11"/>
      <c r="G67" s="11"/>
    </row>
    <row r="68" spans="1:7" ht="13" outlineLevel="4" x14ac:dyDescent="0.3">
      <c r="A68" s="175" t="s">
        <v>120</v>
      </c>
      <c r="B68" s="176">
        <v>0.67918575608999998</v>
      </c>
      <c r="C68" s="176">
        <v>0.67619476282000002</v>
      </c>
      <c r="D68" s="176">
        <v>0.68100472127</v>
      </c>
      <c r="E68" s="11"/>
      <c r="F68" s="11"/>
      <c r="G68" s="11"/>
    </row>
    <row r="69" spans="1:7" ht="13" outlineLevel="4" x14ac:dyDescent="0.3">
      <c r="A69" s="175" t="s">
        <v>121</v>
      </c>
      <c r="B69" s="176">
        <v>5.3424960000000002E-5</v>
      </c>
      <c r="C69" s="176">
        <v>5.3189690000000003E-5</v>
      </c>
      <c r="D69" s="176">
        <v>5.3568040000000002E-5</v>
      </c>
      <c r="E69" s="11"/>
      <c r="F69" s="11"/>
      <c r="G69" s="11"/>
    </row>
    <row r="70" spans="1:7" ht="13" outlineLevel="4" x14ac:dyDescent="0.3">
      <c r="A70" s="175" t="s">
        <v>122</v>
      </c>
      <c r="B70" s="176">
        <v>6.7086455600000004E-3</v>
      </c>
      <c r="C70" s="176">
        <v>6.6791020799999998E-3</v>
      </c>
      <c r="D70" s="176">
        <v>6.7266123600000002E-3</v>
      </c>
      <c r="E70" s="11"/>
      <c r="F70" s="11"/>
      <c r="G70" s="11"/>
    </row>
    <row r="71" spans="1:7" ht="13" outlineLevel="4" x14ac:dyDescent="0.3">
      <c r="A71" s="175" t="s">
        <v>123</v>
      </c>
      <c r="B71" s="176">
        <v>0.19288559186000001</v>
      </c>
      <c r="C71" s="176">
        <v>0.19203616371000001</v>
      </c>
      <c r="D71" s="176">
        <v>0.18669896827999999</v>
      </c>
      <c r="E71" s="11"/>
      <c r="F71" s="11"/>
      <c r="G71" s="11"/>
    </row>
    <row r="72" spans="1:7" ht="13" outlineLevel="4" x14ac:dyDescent="0.3">
      <c r="A72" s="175" t="s">
        <v>124</v>
      </c>
      <c r="B72" s="176">
        <v>0.43278562789000002</v>
      </c>
      <c r="C72" s="176">
        <v>0.43087972970999999</v>
      </c>
      <c r="D72" s="176">
        <v>0.40870868744</v>
      </c>
      <c r="E72" s="11"/>
      <c r="F72" s="11"/>
      <c r="G72" s="11"/>
    </row>
    <row r="73" spans="1:7" ht="13" outlineLevel="4" x14ac:dyDescent="0.3">
      <c r="A73" s="175" t="s">
        <v>125</v>
      </c>
      <c r="B73" s="176">
        <v>0.16700042806000001</v>
      </c>
      <c r="C73" s="176">
        <v>0.16490554571999999</v>
      </c>
      <c r="D73" s="176">
        <v>0.16799509160000001</v>
      </c>
      <c r="E73" s="11"/>
      <c r="F73" s="11"/>
      <c r="G73" s="11"/>
    </row>
    <row r="74" spans="1:7" ht="13" outlineLevel="3" x14ac:dyDescent="0.3">
      <c r="A74" s="177" t="s">
        <v>126</v>
      </c>
      <c r="B74" s="176">
        <f>SUM(B$75:B$75)</f>
        <v>15.219165084</v>
      </c>
      <c r="C74" s="176">
        <f>SUM(C$75:C$75)</f>
        <v>15.219165084</v>
      </c>
      <c r="D74" s="176">
        <f>SUM(D$75:D$75)</f>
        <v>15.219165084</v>
      </c>
      <c r="E74" s="11"/>
      <c r="F74" s="11"/>
      <c r="G74" s="11"/>
    </row>
    <row r="75" spans="1:7" ht="13" outlineLevel="4" x14ac:dyDescent="0.3">
      <c r="A75" s="175" t="s">
        <v>134</v>
      </c>
      <c r="B75" s="176">
        <v>15.219165084</v>
      </c>
      <c r="C75" s="176">
        <v>15.219165084</v>
      </c>
      <c r="D75" s="176">
        <v>15.219165084</v>
      </c>
      <c r="E75" s="11"/>
      <c r="F75" s="11"/>
      <c r="G75" s="11"/>
    </row>
    <row r="76" spans="1:7" ht="13" outlineLevel="3" x14ac:dyDescent="0.3">
      <c r="A76" s="177" t="s">
        <v>135</v>
      </c>
      <c r="B76" s="176">
        <f>SUM(B$77:B$77)</f>
        <v>3</v>
      </c>
      <c r="C76" s="176">
        <f>SUM(C$77:C$77)</f>
        <v>3</v>
      </c>
      <c r="D76" s="176">
        <f>SUM(D$77:D$77)</f>
        <v>3</v>
      </c>
      <c r="E76" s="11"/>
      <c r="F76" s="11"/>
      <c r="G76" s="11"/>
    </row>
    <row r="77" spans="1:7" ht="13" outlineLevel="4" x14ac:dyDescent="0.3">
      <c r="A77" s="175" t="s">
        <v>136</v>
      </c>
      <c r="B77" s="176">
        <v>3</v>
      </c>
      <c r="C77" s="176">
        <v>3</v>
      </c>
      <c r="D77" s="176">
        <v>3</v>
      </c>
      <c r="E77" s="11"/>
      <c r="F77" s="11"/>
      <c r="G77" s="11"/>
    </row>
    <row r="78" spans="1:7" ht="13" outlineLevel="3" x14ac:dyDescent="0.3">
      <c r="A78" s="177" t="s">
        <v>137</v>
      </c>
      <c r="B78" s="176">
        <f>SUM(B$79:B$79)</f>
        <v>4.1161355888799998</v>
      </c>
      <c r="C78" s="176">
        <f>SUM(C$79:C$79)</f>
        <v>4.1151587924199999</v>
      </c>
      <c r="D78" s="176">
        <f>SUM(D$79:D$79)</f>
        <v>4.1315022362200002</v>
      </c>
      <c r="E78" s="11"/>
      <c r="F78" s="11"/>
      <c r="G78" s="11"/>
    </row>
    <row r="79" spans="1:7" ht="13" outlineLevel="4" x14ac:dyDescent="0.3">
      <c r="A79" s="175" t="s">
        <v>104</v>
      </c>
      <c r="B79" s="176">
        <v>4.1161355888799998</v>
      </c>
      <c r="C79" s="176">
        <v>4.1151587924199999</v>
      </c>
      <c r="D79" s="176">
        <v>4.1315022362200002</v>
      </c>
      <c r="E79" s="11"/>
      <c r="F79" s="11"/>
      <c r="G79" s="11"/>
    </row>
    <row r="80" spans="1:7" ht="14.5" outlineLevel="1" x14ac:dyDescent="0.35">
      <c r="A80" s="180" t="s">
        <v>2</v>
      </c>
      <c r="B80" s="181">
        <f>B$81+B$96</f>
        <v>6.8629393971300008</v>
      </c>
      <c r="C80" s="181">
        <f>C$81+C$96</f>
        <v>6.9126422944700003</v>
      </c>
      <c r="D80" s="181">
        <f>D$81+D$96</f>
        <v>6.7295851597800009</v>
      </c>
      <c r="E80" s="11"/>
      <c r="F80" s="11"/>
      <c r="G80" s="11"/>
    </row>
    <row r="81" spans="1:7" ht="14.5" outlineLevel="2" x14ac:dyDescent="0.35">
      <c r="A81" s="178" t="s">
        <v>57</v>
      </c>
      <c r="B81" s="179">
        <f>B$82+B$86+B$94</f>
        <v>1.6498361975499998</v>
      </c>
      <c r="C81" s="179">
        <f>C$82+C$86+C$94</f>
        <v>1.7111333445899999</v>
      </c>
      <c r="D81" s="179">
        <f>D$82+D$86+D$94</f>
        <v>1.76290484535</v>
      </c>
      <c r="E81" s="11"/>
      <c r="F81" s="11"/>
      <c r="G81" s="11"/>
    </row>
    <row r="82" spans="1:7" ht="13" outlineLevel="3" x14ac:dyDescent="0.3">
      <c r="A82" s="177" t="s">
        <v>58</v>
      </c>
      <c r="B82" s="176">
        <f>SUM(B$83:B$85)</f>
        <v>0.10644904969000001</v>
      </c>
      <c r="C82" s="176">
        <f>SUM(C$83:C$85)</f>
        <v>0.10699574887</v>
      </c>
      <c r="D82" s="176">
        <f>SUM(D$83:D$85)</f>
        <v>0.10779524016</v>
      </c>
      <c r="E82" s="11"/>
      <c r="F82" s="11"/>
      <c r="G82" s="11"/>
    </row>
    <row r="83" spans="1:7" ht="13" outlineLevel="4" x14ac:dyDescent="0.3">
      <c r="A83" s="175" t="s">
        <v>138</v>
      </c>
      <c r="B83" s="176">
        <v>2.7593000000000001E-7</v>
      </c>
      <c r="C83" s="176">
        <v>2.7734999999999998E-7</v>
      </c>
      <c r="D83" s="176">
        <v>2.7942E-7</v>
      </c>
      <c r="E83" s="11"/>
      <c r="F83" s="11"/>
      <c r="G83" s="11"/>
    </row>
    <row r="84" spans="1:7" ht="13" outlineLevel="4" x14ac:dyDescent="0.3">
      <c r="A84" s="175" t="s">
        <v>139</v>
      </c>
      <c r="B84" s="176">
        <v>5.8873902810000003E-2</v>
      </c>
      <c r="C84" s="176">
        <v>5.9176266370000001E-2</v>
      </c>
      <c r="D84" s="176">
        <v>5.9618441979999999E-2</v>
      </c>
      <c r="E84" s="11"/>
      <c r="F84" s="11"/>
      <c r="G84" s="11"/>
    </row>
    <row r="85" spans="1:7" ht="13" outlineLevel="4" x14ac:dyDescent="0.3">
      <c r="A85" s="175" t="s">
        <v>144</v>
      </c>
      <c r="B85" s="176">
        <v>4.7574870950000001E-2</v>
      </c>
      <c r="C85" s="176">
        <v>4.7819205150000002E-2</v>
      </c>
      <c r="D85" s="176">
        <v>4.8176518760000002E-2</v>
      </c>
      <c r="E85" s="11"/>
      <c r="F85" s="11"/>
      <c r="G85" s="11"/>
    </row>
    <row r="86" spans="1:7" ht="13" outlineLevel="3" x14ac:dyDescent="0.3">
      <c r="A86" s="177" t="s">
        <v>93</v>
      </c>
      <c r="B86" s="176">
        <f>SUM(B$87:B$93)</f>
        <v>1.5433644391799999</v>
      </c>
      <c r="C86" s="176">
        <f>SUM(C$87:C$93)</f>
        <v>1.6041147704199998</v>
      </c>
      <c r="D86" s="176">
        <f>SUM(D$87:D$93)</f>
        <v>1.6550866093300001</v>
      </c>
      <c r="E86" s="11"/>
      <c r="F86" s="11"/>
      <c r="G86" s="11"/>
    </row>
    <row r="87" spans="1:7" ht="13" outlineLevel="4" x14ac:dyDescent="0.3">
      <c r="A87" s="175" t="s">
        <v>145</v>
      </c>
      <c r="B87" s="176">
        <v>6.2834343449999996E-2</v>
      </c>
      <c r="C87" s="176">
        <v>7.5596850660000006E-2</v>
      </c>
      <c r="D87" s="176">
        <v>7.8600606500000003E-2</v>
      </c>
      <c r="E87" s="11"/>
      <c r="F87" s="11"/>
      <c r="G87" s="11"/>
    </row>
    <row r="88" spans="1:7" ht="13" outlineLevel="4" x14ac:dyDescent="0.3">
      <c r="A88" s="175" t="s">
        <v>146</v>
      </c>
      <c r="B88" s="176">
        <v>7.2222222400000003E-3</v>
      </c>
      <c r="C88" s="176">
        <v>6.8611111299999999E-3</v>
      </c>
      <c r="D88" s="176">
        <v>6.5000000199999996E-3</v>
      </c>
      <c r="E88" s="11"/>
      <c r="F88" s="11"/>
      <c r="G88" s="11"/>
    </row>
    <row r="89" spans="1:7" ht="13" outlineLevel="4" x14ac:dyDescent="0.3">
      <c r="A89" s="175" t="s">
        <v>147</v>
      </c>
      <c r="B89" s="176">
        <v>0.35657922199999997</v>
      </c>
      <c r="C89" s="176">
        <v>0.36321425736000001</v>
      </c>
      <c r="D89" s="176">
        <v>0.40726282439</v>
      </c>
      <c r="E89" s="11"/>
      <c r="F89" s="11"/>
      <c r="G89" s="11"/>
    </row>
    <row r="90" spans="1:7" ht="13" outlineLevel="4" x14ac:dyDescent="0.3">
      <c r="A90" s="175" t="s">
        <v>148</v>
      </c>
      <c r="B90" s="176">
        <v>0.31541573540000001</v>
      </c>
      <c r="C90" s="176">
        <v>0.34784984045</v>
      </c>
      <c r="D90" s="176">
        <v>0.35514685483000002</v>
      </c>
      <c r="E90" s="11"/>
      <c r="F90" s="11"/>
      <c r="G90" s="11"/>
    </row>
    <row r="91" spans="1:7" ht="13" outlineLevel="4" x14ac:dyDescent="0.3">
      <c r="A91" s="175" t="s">
        <v>149</v>
      </c>
      <c r="B91" s="176">
        <v>5.5555555199999999E-3</v>
      </c>
      <c r="C91" s="176">
        <v>1.2684330840000001E-2</v>
      </c>
      <c r="D91" s="176">
        <v>1.489839456E-2</v>
      </c>
      <c r="E91" s="11"/>
      <c r="F91" s="11"/>
      <c r="G91" s="11"/>
    </row>
    <row r="92" spans="1:7" ht="13" outlineLevel="4" x14ac:dyDescent="0.3">
      <c r="A92" s="175" t="s">
        <v>150</v>
      </c>
      <c r="B92" s="176">
        <v>7.77777776E-3</v>
      </c>
      <c r="C92" s="176">
        <v>7.3888888699999997E-3</v>
      </c>
      <c r="D92" s="176">
        <v>6.9999999800000002E-3</v>
      </c>
      <c r="E92" s="11"/>
      <c r="F92" s="11"/>
      <c r="G92" s="11"/>
    </row>
    <row r="93" spans="1:7" ht="13" outlineLevel="4" x14ac:dyDescent="0.3">
      <c r="A93" s="175" t="s">
        <v>153</v>
      </c>
      <c r="B93" s="176">
        <v>0.78797958281000002</v>
      </c>
      <c r="C93" s="176">
        <v>0.79051949110999997</v>
      </c>
      <c r="D93" s="176">
        <v>0.78567792905</v>
      </c>
      <c r="E93" s="11"/>
      <c r="F93" s="11"/>
      <c r="G93" s="11"/>
    </row>
    <row r="94" spans="1:7" ht="13" outlineLevel="3" x14ac:dyDescent="0.3">
      <c r="A94" s="177" t="s">
        <v>154</v>
      </c>
      <c r="B94" s="176">
        <f>SUM(B$95:B$95)</f>
        <v>2.270868E-5</v>
      </c>
      <c r="C94" s="176">
        <f>SUM(C$95:C$95)</f>
        <v>2.28253E-5</v>
      </c>
      <c r="D94" s="176">
        <f>SUM(D$95:D$95)</f>
        <v>2.2995859999999998E-5</v>
      </c>
      <c r="E94" s="11"/>
      <c r="F94" s="11"/>
      <c r="G94" s="11"/>
    </row>
    <row r="95" spans="1:7" ht="13" outlineLevel="4" x14ac:dyDescent="0.3">
      <c r="A95" s="175" t="s">
        <v>155</v>
      </c>
      <c r="B95" s="176">
        <v>2.270868E-5</v>
      </c>
      <c r="C95" s="176">
        <v>2.28253E-5</v>
      </c>
      <c r="D95" s="176">
        <v>2.2995859999999998E-5</v>
      </c>
      <c r="E95" s="11"/>
      <c r="F95" s="11"/>
      <c r="G95" s="11"/>
    </row>
    <row r="96" spans="1:7" ht="14.5" outlineLevel="2" x14ac:dyDescent="0.35">
      <c r="A96" s="178" t="s">
        <v>95</v>
      </c>
      <c r="B96" s="179">
        <f>B$97+B$104+B$107+B$109+B$111</f>
        <v>5.2131031995800008</v>
      </c>
      <c r="C96" s="179">
        <f>C$97+C$104+C$107+C$109+C$111</f>
        <v>5.20150894988</v>
      </c>
      <c r="D96" s="179">
        <f>D$97+D$104+D$107+D$109+D$111</f>
        <v>4.9666803144300005</v>
      </c>
      <c r="E96" s="11"/>
      <c r="F96" s="11"/>
      <c r="G96" s="11"/>
    </row>
    <row r="97" spans="1:7" ht="13" outlineLevel="3" x14ac:dyDescent="0.3">
      <c r="A97" s="177" t="s">
        <v>96</v>
      </c>
      <c r="B97" s="176">
        <f>SUM(B$98:B$103)</f>
        <v>3.2418873771000003</v>
      </c>
      <c r="C97" s="176">
        <f>SUM(C$98:C$103)</f>
        <v>3.2341427346299998</v>
      </c>
      <c r="D97" s="176">
        <f>SUM(D$98:D$103)</f>
        <v>2.9986601518000002</v>
      </c>
      <c r="E97" s="11"/>
      <c r="F97" s="11"/>
      <c r="G97" s="11"/>
    </row>
    <row r="98" spans="1:7" ht="13" outlineLevel="4" x14ac:dyDescent="0.3">
      <c r="A98" s="175" t="s">
        <v>156</v>
      </c>
      <c r="B98" s="176">
        <v>0.31347034895999998</v>
      </c>
      <c r="C98" s="176">
        <v>0.31208989054000003</v>
      </c>
      <c r="D98" s="176">
        <v>0.31430987136999999</v>
      </c>
      <c r="E98" s="11"/>
      <c r="F98" s="11"/>
      <c r="G98" s="11"/>
    </row>
    <row r="99" spans="1:7" ht="13" outlineLevel="4" x14ac:dyDescent="0.3">
      <c r="A99" s="175" t="s">
        <v>99</v>
      </c>
      <c r="B99" s="176">
        <v>1.0781519687600001</v>
      </c>
      <c r="C99" s="176">
        <v>1.07433851991</v>
      </c>
      <c r="D99" s="176">
        <v>0.95968797809999995</v>
      </c>
      <c r="E99" s="11"/>
      <c r="F99" s="11"/>
      <c r="G99" s="11"/>
    </row>
    <row r="100" spans="1:7" ht="13" outlineLevel="4" x14ac:dyDescent="0.3">
      <c r="A100" s="175" t="s">
        <v>100</v>
      </c>
      <c r="B100" s="176">
        <v>0.19232794526999999</v>
      </c>
      <c r="C100" s="176">
        <v>0.19004878142000001</v>
      </c>
      <c r="D100" s="176">
        <v>0.19140065043000001</v>
      </c>
      <c r="E100" s="11"/>
      <c r="F100" s="11"/>
      <c r="G100" s="11"/>
    </row>
    <row r="101" spans="1:7" ht="13" outlineLevel="4" x14ac:dyDescent="0.3">
      <c r="A101" s="175" t="s">
        <v>103</v>
      </c>
      <c r="B101" s="176">
        <v>0.51326692550999997</v>
      </c>
      <c r="C101" s="176">
        <v>0.51326692550999997</v>
      </c>
      <c r="D101" s="176">
        <v>0.51326692550999997</v>
      </c>
      <c r="E101" s="11"/>
      <c r="F101" s="11"/>
      <c r="G101" s="11"/>
    </row>
    <row r="102" spans="1:7" ht="13" outlineLevel="4" x14ac:dyDescent="0.3">
      <c r="A102" s="175" t="s">
        <v>104</v>
      </c>
      <c r="B102" s="176">
        <v>1.1443781555999999</v>
      </c>
      <c r="C102" s="176">
        <v>1.14410658425</v>
      </c>
      <c r="D102" s="176">
        <v>1.01970269339</v>
      </c>
      <c r="E102" s="11"/>
      <c r="F102" s="11"/>
      <c r="G102" s="11"/>
    </row>
    <row r="103" spans="1:7" ht="13" outlineLevel="4" x14ac:dyDescent="0.3">
      <c r="A103" s="175" t="s">
        <v>105</v>
      </c>
      <c r="B103" s="176">
        <v>2.9203299999999997E-4</v>
      </c>
      <c r="C103" s="176">
        <v>2.9203299999999997E-4</v>
      </c>
      <c r="D103" s="176">
        <v>2.9203299999999997E-4</v>
      </c>
      <c r="E103" s="11"/>
      <c r="F103" s="11"/>
      <c r="G103" s="11"/>
    </row>
    <row r="104" spans="1:7" ht="13" outlineLevel="3" x14ac:dyDescent="0.3">
      <c r="A104" s="177" t="s">
        <v>157</v>
      </c>
      <c r="B104" s="176">
        <f>SUM(B$105:B$106)</f>
        <v>0.85779034641999996</v>
      </c>
      <c r="C104" s="176">
        <f>SUM(C$105:C$106)</f>
        <v>0.85764594453999998</v>
      </c>
      <c r="D104" s="176">
        <f>SUM(D$105:D$106)</f>
        <v>0.85787816407999995</v>
      </c>
      <c r="E104" s="11"/>
      <c r="F104" s="11"/>
      <c r="G104" s="11"/>
    </row>
    <row r="105" spans="1:7" ht="13" outlineLevel="4" x14ac:dyDescent="0.3">
      <c r="A105" s="175" t="s">
        <v>158</v>
      </c>
      <c r="B105" s="176">
        <v>0.82499999999999996</v>
      </c>
      <c r="C105" s="176">
        <v>0.82499999999999996</v>
      </c>
      <c r="D105" s="176">
        <v>0.82499999999999996</v>
      </c>
      <c r="E105" s="11"/>
      <c r="F105" s="11"/>
      <c r="G105" s="11"/>
    </row>
    <row r="106" spans="1:7" ht="13" outlineLevel="4" x14ac:dyDescent="0.3">
      <c r="A106" s="175" t="s">
        <v>111</v>
      </c>
      <c r="B106" s="176">
        <v>3.2790346419999998E-2</v>
      </c>
      <c r="C106" s="176">
        <v>3.2645944539999999E-2</v>
      </c>
      <c r="D106" s="176">
        <v>3.2878164080000001E-2</v>
      </c>
      <c r="E106" s="11"/>
      <c r="F106" s="11"/>
      <c r="G106" s="11"/>
    </row>
    <row r="107" spans="1:7" ht="13" outlineLevel="3" x14ac:dyDescent="0.3">
      <c r="A107" s="177" t="s">
        <v>119</v>
      </c>
      <c r="B107" s="176">
        <f>SUM(B$108:B$108)</f>
        <v>0.18221230804999999</v>
      </c>
      <c r="C107" s="176">
        <f>SUM(C$108:C$108)</f>
        <v>0.17853230805</v>
      </c>
      <c r="D107" s="176">
        <f>SUM(D$108:D$108)</f>
        <v>0.17853230805</v>
      </c>
      <c r="E107" s="11"/>
      <c r="F107" s="11"/>
      <c r="G107" s="11"/>
    </row>
    <row r="108" spans="1:7" ht="13" outlineLevel="4" x14ac:dyDescent="0.3">
      <c r="A108" s="175" t="s">
        <v>159</v>
      </c>
      <c r="B108" s="176">
        <v>0.18221230804999999</v>
      </c>
      <c r="C108" s="176">
        <v>0.17853230805</v>
      </c>
      <c r="D108" s="176">
        <v>0.17853230805</v>
      </c>
      <c r="E108" s="11"/>
      <c r="F108" s="11"/>
      <c r="G108" s="11"/>
    </row>
    <row r="109" spans="1:7" ht="13" outlineLevel="3" x14ac:dyDescent="0.3">
      <c r="A109" s="177" t="s">
        <v>160</v>
      </c>
      <c r="B109" s="176">
        <f>SUM(B$110:B$110)</f>
        <v>0.82499999999999996</v>
      </c>
      <c r="C109" s="176">
        <f>SUM(C$110:C$110)</f>
        <v>0.82499999999999996</v>
      </c>
      <c r="D109" s="176">
        <f>SUM(D$110:D$110)</f>
        <v>0.82499999999999996</v>
      </c>
      <c r="E109" s="11"/>
      <c r="F109" s="11"/>
      <c r="G109" s="11"/>
    </row>
    <row r="110" spans="1:7" ht="13" outlineLevel="4" x14ac:dyDescent="0.3">
      <c r="A110" s="175" t="s">
        <v>162</v>
      </c>
      <c r="B110" s="176">
        <v>0.82499999999999996</v>
      </c>
      <c r="C110" s="176">
        <v>0.82499999999999996</v>
      </c>
      <c r="D110" s="176">
        <v>0.82499999999999996</v>
      </c>
      <c r="E110" s="11"/>
      <c r="F110" s="11"/>
      <c r="G110" s="11"/>
    </row>
    <row r="111" spans="1:7" ht="13" outlineLevel="3" x14ac:dyDescent="0.3">
      <c r="A111" s="177" t="s">
        <v>137</v>
      </c>
      <c r="B111" s="176">
        <f>SUM(B$112:B$112)</f>
        <v>0.10621316801</v>
      </c>
      <c r="C111" s="176">
        <f>SUM(C$112:C$112)</f>
        <v>0.10618796266</v>
      </c>
      <c r="D111" s="176">
        <f>SUM(D$112:D$112)</f>
        <v>0.10660969050000001</v>
      </c>
      <c r="E111" s="11"/>
      <c r="F111" s="11"/>
      <c r="G111" s="11"/>
    </row>
    <row r="112" spans="1:7" ht="13" outlineLevel="4" x14ac:dyDescent="0.3">
      <c r="A112" s="175" t="s">
        <v>104</v>
      </c>
      <c r="B112" s="176">
        <v>0.10621316801</v>
      </c>
      <c r="C112" s="176">
        <v>0.10618796266</v>
      </c>
      <c r="D112" s="176">
        <v>0.10660969050000001</v>
      </c>
      <c r="E112" s="11"/>
      <c r="F112" s="11"/>
      <c r="G112" s="11"/>
    </row>
    <row r="113" spans="2:7" x14ac:dyDescent="0.25">
      <c r="B113" s="10"/>
      <c r="C113" s="10"/>
      <c r="D113" s="10"/>
      <c r="E113" s="11"/>
      <c r="F113" s="11"/>
      <c r="G113" s="11"/>
    </row>
    <row r="114" spans="2:7" x14ac:dyDescent="0.25">
      <c r="B114" s="10"/>
      <c r="C114" s="10"/>
      <c r="D114" s="10"/>
      <c r="E114" s="11"/>
      <c r="F114" s="11"/>
      <c r="G114" s="11"/>
    </row>
    <row r="115" spans="2:7" x14ac:dyDescent="0.25">
      <c r="B115" s="10"/>
      <c r="C115" s="10"/>
      <c r="D115" s="10"/>
      <c r="E115" s="11"/>
      <c r="F115" s="11"/>
      <c r="G115" s="11"/>
    </row>
    <row r="116" spans="2:7" x14ac:dyDescent="0.25">
      <c r="B116" s="10"/>
      <c r="C116" s="10"/>
      <c r="D116" s="10"/>
      <c r="E116" s="11"/>
      <c r="F116" s="11"/>
      <c r="G116" s="11"/>
    </row>
    <row r="117" spans="2:7" x14ac:dyDescent="0.25">
      <c r="B117" s="10"/>
      <c r="C117" s="10"/>
      <c r="D117" s="10"/>
      <c r="E117" s="11"/>
      <c r="F117" s="11"/>
      <c r="G117" s="11"/>
    </row>
    <row r="118" spans="2:7" x14ac:dyDescent="0.25">
      <c r="B118" s="10"/>
      <c r="C118" s="10"/>
      <c r="D118" s="10"/>
      <c r="E118" s="11"/>
      <c r="F118" s="11"/>
      <c r="G118" s="11"/>
    </row>
    <row r="119" spans="2:7" x14ac:dyDescent="0.25">
      <c r="B119" s="10"/>
      <c r="C119" s="10"/>
      <c r="D119" s="10"/>
      <c r="E119" s="11"/>
      <c r="F119" s="11"/>
      <c r="G119" s="11"/>
    </row>
    <row r="120" spans="2:7" x14ac:dyDescent="0.25">
      <c r="B120" s="10"/>
      <c r="C120" s="10"/>
      <c r="D120" s="10"/>
      <c r="E120" s="11"/>
      <c r="F120" s="11"/>
      <c r="G120" s="11"/>
    </row>
    <row r="121" spans="2:7" x14ac:dyDescent="0.25">
      <c r="B121" s="10"/>
      <c r="C121" s="10"/>
      <c r="D121" s="10"/>
      <c r="E121" s="11"/>
      <c r="F121" s="11"/>
      <c r="G121" s="11"/>
    </row>
    <row r="122" spans="2:7" x14ac:dyDescent="0.25">
      <c r="B122" s="10"/>
      <c r="C122" s="10"/>
      <c r="D122" s="10"/>
      <c r="E122" s="11"/>
      <c r="F122" s="11"/>
      <c r="G122" s="11"/>
    </row>
    <row r="123" spans="2:7" x14ac:dyDescent="0.25">
      <c r="B123" s="10"/>
      <c r="C123" s="10"/>
      <c r="D123" s="10"/>
      <c r="E123" s="11"/>
      <c r="F123" s="11"/>
      <c r="G123" s="11"/>
    </row>
    <row r="124" spans="2:7" x14ac:dyDescent="0.25">
      <c r="B124" s="10"/>
      <c r="C124" s="10"/>
      <c r="D124" s="10"/>
      <c r="E124" s="11"/>
      <c r="F124" s="11"/>
      <c r="G124" s="11"/>
    </row>
    <row r="125" spans="2:7" x14ac:dyDescent="0.25">
      <c r="B125" s="10"/>
      <c r="C125" s="10"/>
      <c r="D125" s="10"/>
      <c r="E125" s="11"/>
      <c r="F125" s="11"/>
      <c r="G125" s="11"/>
    </row>
    <row r="126" spans="2:7" x14ac:dyDescent="0.25">
      <c r="B126" s="10"/>
      <c r="C126" s="10"/>
      <c r="D126" s="10"/>
      <c r="E126" s="11"/>
      <c r="F126" s="11"/>
      <c r="G126" s="11"/>
    </row>
    <row r="127" spans="2:7" x14ac:dyDescent="0.25">
      <c r="B127" s="10"/>
      <c r="C127" s="10"/>
      <c r="D127" s="10"/>
      <c r="E127" s="11"/>
      <c r="F127" s="11"/>
      <c r="G127" s="11"/>
    </row>
    <row r="128" spans="2:7" x14ac:dyDescent="0.25">
      <c r="B128" s="10"/>
      <c r="C128" s="10"/>
      <c r="D128" s="10"/>
      <c r="E128" s="11"/>
      <c r="F128" s="11"/>
      <c r="G128" s="11"/>
    </row>
    <row r="129" spans="2:7" x14ac:dyDescent="0.25">
      <c r="B129" s="10"/>
      <c r="C129" s="10"/>
      <c r="D129" s="10"/>
      <c r="E129" s="11"/>
      <c r="F129" s="11"/>
      <c r="G129" s="11"/>
    </row>
    <row r="130" spans="2:7" x14ac:dyDescent="0.25">
      <c r="B130" s="10"/>
      <c r="C130" s="10"/>
      <c r="D130" s="10"/>
      <c r="E130" s="11"/>
      <c r="F130" s="11"/>
      <c r="G130" s="11"/>
    </row>
    <row r="131" spans="2:7" x14ac:dyDescent="0.25">
      <c r="B131" s="10"/>
      <c r="C131" s="10"/>
      <c r="D131" s="10"/>
      <c r="E131" s="11"/>
      <c r="F131" s="11"/>
      <c r="G131" s="11"/>
    </row>
    <row r="132" spans="2:7" x14ac:dyDescent="0.25">
      <c r="B132" s="10"/>
      <c r="C132" s="10"/>
      <c r="D132" s="10"/>
      <c r="E132" s="11"/>
      <c r="F132" s="11"/>
      <c r="G132" s="11"/>
    </row>
    <row r="133" spans="2:7" x14ac:dyDescent="0.25">
      <c r="B133" s="10"/>
      <c r="C133" s="10"/>
      <c r="D133" s="10"/>
      <c r="E133" s="11"/>
      <c r="F133" s="11"/>
      <c r="G133" s="11"/>
    </row>
    <row r="134" spans="2:7" x14ac:dyDescent="0.25">
      <c r="B134" s="10"/>
      <c r="C134" s="10"/>
      <c r="D134" s="10"/>
      <c r="E134" s="11"/>
      <c r="F134" s="11"/>
      <c r="G134" s="11"/>
    </row>
    <row r="135" spans="2:7" x14ac:dyDescent="0.25">
      <c r="B135" s="10"/>
      <c r="C135" s="10"/>
      <c r="D135" s="10"/>
      <c r="E135" s="11"/>
      <c r="F135" s="11"/>
      <c r="G135" s="11"/>
    </row>
    <row r="136" spans="2:7" x14ac:dyDescent="0.25">
      <c r="B136" s="10"/>
      <c r="C136" s="10"/>
      <c r="D136" s="10"/>
      <c r="E136" s="11"/>
      <c r="F136" s="11"/>
      <c r="G136" s="11"/>
    </row>
    <row r="137" spans="2:7" x14ac:dyDescent="0.25">
      <c r="B137" s="10"/>
      <c r="C137" s="10"/>
      <c r="D137" s="10"/>
      <c r="E137" s="11"/>
      <c r="F137" s="11"/>
      <c r="G137" s="11"/>
    </row>
    <row r="138" spans="2:7" x14ac:dyDescent="0.25">
      <c r="B138" s="10"/>
      <c r="C138" s="10"/>
      <c r="D138" s="10"/>
      <c r="E138" s="11"/>
      <c r="F138" s="11"/>
      <c r="G138" s="11"/>
    </row>
    <row r="139" spans="2:7" x14ac:dyDescent="0.25">
      <c r="B139" s="10"/>
      <c r="C139" s="10"/>
      <c r="D139" s="10"/>
      <c r="E139" s="11"/>
      <c r="F139" s="11"/>
      <c r="G139" s="11"/>
    </row>
    <row r="140" spans="2:7" x14ac:dyDescent="0.25">
      <c r="B140" s="10"/>
      <c r="C140" s="10"/>
      <c r="D140" s="10"/>
      <c r="E140" s="11"/>
      <c r="F140" s="11"/>
      <c r="G140" s="11"/>
    </row>
    <row r="141" spans="2:7" x14ac:dyDescent="0.25">
      <c r="B141" s="10"/>
      <c r="C141" s="10"/>
      <c r="D141" s="10"/>
      <c r="E141" s="11"/>
      <c r="F141" s="11"/>
      <c r="G141" s="11"/>
    </row>
    <row r="142" spans="2:7" x14ac:dyDescent="0.25">
      <c r="B142" s="10"/>
      <c r="C142" s="10"/>
      <c r="D142" s="10"/>
      <c r="E142" s="11"/>
      <c r="F142" s="11"/>
      <c r="G142" s="11"/>
    </row>
    <row r="143" spans="2:7" x14ac:dyDescent="0.25">
      <c r="B143" s="10"/>
      <c r="C143" s="10"/>
      <c r="D143" s="10"/>
      <c r="E143" s="11"/>
      <c r="F143" s="11"/>
      <c r="G143" s="11"/>
    </row>
    <row r="144" spans="2:7" x14ac:dyDescent="0.25">
      <c r="B144" s="10"/>
      <c r="C144" s="10"/>
      <c r="D144" s="10"/>
      <c r="E144" s="11"/>
      <c r="F144" s="11"/>
      <c r="G144" s="11"/>
    </row>
    <row r="145" spans="2:7" x14ac:dyDescent="0.25">
      <c r="B145" s="10"/>
      <c r="C145" s="10"/>
      <c r="D145" s="10"/>
      <c r="E145" s="11"/>
      <c r="F145" s="11"/>
      <c r="G145" s="11"/>
    </row>
    <row r="146" spans="2:7" x14ac:dyDescent="0.25">
      <c r="B146" s="10"/>
      <c r="C146" s="10"/>
      <c r="D146" s="10"/>
      <c r="E146" s="11"/>
      <c r="F146" s="11"/>
      <c r="G146" s="11"/>
    </row>
    <row r="147" spans="2:7" x14ac:dyDescent="0.25">
      <c r="B147" s="10"/>
      <c r="C147" s="10"/>
      <c r="D147" s="10"/>
      <c r="E147" s="11"/>
      <c r="F147" s="11"/>
      <c r="G147" s="11"/>
    </row>
    <row r="148" spans="2:7" x14ac:dyDescent="0.25">
      <c r="B148" s="10"/>
      <c r="C148" s="10"/>
      <c r="D148" s="10"/>
      <c r="E148" s="11"/>
      <c r="F148" s="11"/>
      <c r="G148" s="11"/>
    </row>
    <row r="149" spans="2:7" x14ac:dyDescent="0.25">
      <c r="B149" s="10"/>
      <c r="C149" s="10"/>
      <c r="D149" s="10"/>
      <c r="E149" s="11"/>
      <c r="F149" s="11"/>
      <c r="G149" s="11"/>
    </row>
    <row r="150" spans="2:7" x14ac:dyDescent="0.25">
      <c r="B150" s="10"/>
      <c r="C150" s="10"/>
      <c r="D150" s="10"/>
      <c r="E150" s="11"/>
      <c r="F150" s="11"/>
      <c r="G150" s="11"/>
    </row>
    <row r="151" spans="2:7" x14ac:dyDescent="0.25">
      <c r="B151" s="10"/>
      <c r="C151" s="10"/>
      <c r="D151" s="10"/>
      <c r="E151" s="11"/>
      <c r="F151" s="11"/>
      <c r="G151" s="11"/>
    </row>
    <row r="152" spans="2:7" x14ac:dyDescent="0.25">
      <c r="B152" s="10"/>
      <c r="C152" s="10"/>
      <c r="D152" s="10"/>
      <c r="E152" s="11"/>
      <c r="F152" s="11"/>
      <c r="G152" s="11"/>
    </row>
    <row r="153" spans="2:7" x14ac:dyDescent="0.25">
      <c r="B153" s="10"/>
      <c r="C153" s="10"/>
      <c r="D153" s="10"/>
      <c r="E153" s="11"/>
      <c r="F153" s="11"/>
      <c r="G153" s="11"/>
    </row>
    <row r="154" spans="2:7" x14ac:dyDescent="0.25">
      <c r="B154" s="10"/>
      <c r="C154" s="10"/>
      <c r="D154" s="10"/>
      <c r="E154" s="11"/>
      <c r="F154" s="11"/>
      <c r="G154" s="11"/>
    </row>
    <row r="155" spans="2:7" x14ac:dyDescent="0.25">
      <c r="B155" s="10"/>
      <c r="C155" s="10"/>
      <c r="D155" s="10"/>
      <c r="E155" s="11"/>
      <c r="F155" s="11"/>
      <c r="G155" s="11"/>
    </row>
    <row r="156" spans="2:7" x14ac:dyDescent="0.25">
      <c r="B156" s="10"/>
      <c r="C156" s="10"/>
      <c r="D156" s="10"/>
      <c r="E156" s="11"/>
      <c r="F156" s="11"/>
      <c r="G156" s="11"/>
    </row>
    <row r="157" spans="2:7" x14ac:dyDescent="0.25">
      <c r="B157" s="10"/>
      <c r="C157" s="10"/>
      <c r="D157" s="10"/>
      <c r="E157" s="11"/>
      <c r="F157" s="11"/>
      <c r="G157" s="11"/>
    </row>
    <row r="158" spans="2:7" x14ac:dyDescent="0.25">
      <c r="B158" s="10"/>
      <c r="C158" s="10"/>
      <c r="D158" s="10"/>
      <c r="E158" s="11"/>
      <c r="F158" s="11"/>
      <c r="G158" s="11"/>
    </row>
    <row r="159" spans="2:7" x14ac:dyDescent="0.25">
      <c r="B159" s="10"/>
      <c r="C159" s="10"/>
      <c r="D159" s="10"/>
      <c r="E159" s="11"/>
      <c r="F159" s="11"/>
      <c r="G159" s="11"/>
    </row>
    <row r="160" spans="2:7" x14ac:dyDescent="0.25">
      <c r="B160" s="10"/>
      <c r="C160" s="10"/>
      <c r="D160" s="10"/>
      <c r="E160" s="11"/>
      <c r="F160" s="11"/>
      <c r="G160" s="11"/>
    </row>
    <row r="161" spans="2:7" x14ac:dyDescent="0.25">
      <c r="B161" s="10"/>
      <c r="C161" s="10"/>
      <c r="D161" s="10"/>
      <c r="E161" s="11"/>
      <c r="F161" s="11"/>
      <c r="G161" s="11"/>
    </row>
    <row r="162" spans="2:7" x14ac:dyDescent="0.25">
      <c r="B162" s="10"/>
      <c r="C162" s="10"/>
      <c r="D162" s="10"/>
      <c r="E162" s="11"/>
      <c r="F162" s="11"/>
      <c r="G162" s="11"/>
    </row>
    <row r="163" spans="2:7" x14ac:dyDescent="0.25">
      <c r="B163" s="10"/>
      <c r="C163" s="10"/>
      <c r="D163" s="10"/>
      <c r="E163" s="11"/>
      <c r="F163" s="11"/>
      <c r="G163" s="11"/>
    </row>
    <row r="164" spans="2:7" x14ac:dyDescent="0.25">
      <c r="B164" s="10"/>
      <c r="C164" s="10"/>
      <c r="D164" s="10"/>
      <c r="E164" s="11"/>
      <c r="F164" s="11"/>
      <c r="G164" s="11"/>
    </row>
    <row r="165" spans="2:7" x14ac:dyDescent="0.25">
      <c r="B165" s="10"/>
      <c r="C165" s="10"/>
      <c r="D165" s="10"/>
      <c r="E165" s="11"/>
      <c r="F165" s="11"/>
      <c r="G165" s="11"/>
    </row>
    <row r="166" spans="2:7" x14ac:dyDescent="0.25">
      <c r="B166" s="10"/>
      <c r="C166" s="10"/>
      <c r="D166" s="10"/>
      <c r="E166" s="11"/>
      <c r="F166" s="11"/>
      <c r="G166" s="11"/>
    </row>
    <row r="167" spans="2:7" x14ac:dyDescent="0.25">
      <c r="B167" s="10"/>
      <c r="C167" s="10"/>
      <c r="D167" s="10"/>
      <c r="E167" s="11"/>
      <c r="F167" s="11"/>
      <c r="G167" s="11"/>
    </row>
    <row r="168" spans="2:7" x14ac:dyDescent="0.25">
      <c r="B168" s="10"/>
      <c r="C168" s="10"/>
      <c r="D168" s="10"/>
      <c r="E168" s="11"/>
      <c r="F168" s="11"/>
      <c r="G168" s="11"/>
    </row>
    <row r="169" spans="2:7" x14ac:dyDescent="0.25">
      <c r="B169" s="10"/>
      <c r="C169" s="10"/>
      <c r="D169" s="10"/>
      <c r="E169" s="11"/>
      <c r="F169" s="11"/>
      <c r="G169" s="11"/>
    </row>
    <row r="170" spans="2:7" x14ac:dyDescent="0.25">
      <c r="B170" s="10"/>
      <c r="C170" s="10"/>
      <c r="D170" s="10"/>
      <c r="E170" s="11"/>
      <c r="F170" s="11"/>
      <c r="G170" s="11"/>
    </row>
    <row r="171" spans="2:7" x14ac:dyDescent="0.25">
      <c r="B171" s="10"/>
      <c r="C171" s="10"/>
      <c r="D171" s="10"/>
      <c r="E171" s="11"/>
      <c r="F171" s="11"/>
      <c r="G171" s="11"/>
    </row>
    <row r="172" spans="2:7" x14ac:dyDescent="0.25">
      <c r="B172" s="10"/>
      <c r="C172" s="10"/>
      <c r="D172" s="10"/>
      <c r="E172" s="11"/>
      <c r="F172" s="11"/>
      <c r="G172" s="11"/>
    </row>
    <row r="173" spans="2:7" x14ac:dyDescent="0.25">
      <c r="B173" s="10"/>
      <c r="C173" s="10"/>
      <c r="D173" s="10"/>
      <c r="E173" s="11"/>
      <c r="F173" s="11"/>
      <c r="G173" s="11"/>
    </row>
    <row r="174" spans="2:7" x14ac:dyDescent="0.25">
      <c r="B174" s="10"/>
      <c r="C174" s="10"/>
      <c r="D174" s="10"/>
      <c r="E174" s="11"/>
      <c r="F174" s="11"/>
      <c r="G174" s="11"/>
    </row>
    <row r="175" spans="2:7" x14ac:dyDescent="0.25">
      <c r="B175" s="10"/>
      <c r="C175" s="10"/>
      <c r="D175" s="10"/>
      <c r="E175" s="11"/>
      <c r="F175" s="11"/>
      <c r="G175" s="11"/>
    </row>
    <row r="176" spans="2:7" x14ac:dyDescent="0.25">
      <c r="B176" s="10"/>
      <c r="C176" s="10"/>
      <c r="D176" s="10"/>
      <c r="E176" s="11"/>
      <c r="F176" s="11"/>
      <c r="G176" s="11"/>
    </row>
    <row r="177" spans="2:7" x14ac:dyDescent="0.25">
      <c r="B177" s="10"/>
      <c r="C177" s="10"/>
      <c r="D177" s="10"/>
      <c r="E177" s="11"/>
      <c r="F177" s="11"/>
      <c r="G177" s="11"/>
    </row>
    <row r="178" spans="2:7" x14ac:dyDescent="0.25">
      <c r="B178" s="10"/>
      <c r="C178" s="10"/>
      <c r="D178" s="10"/>
      <c r="E178" s="11"/>
      <c r="F178" s="11"/>
      <c r="G178" s="11"/>
    </row>
    <row r="179" spans="2:7" x14ac:dyDescent="0.25">
      <c r="B179" s="10"/>
      <c r="C179" s="10"/>
      <c r="D179" s="10"/>
      <c r="E179" s="11"/>
      <c r="F179" s="11"/>
      <c r="G179" s="11"/>
    </row>
    <row r="180" spans="2:7" x14ac:dyDescent="0.25">
      <c r="B180" s="10"/>
      <c r="C180" s="10"/>
      <c r="D180" s="10"/>
      <c r="E180" s="11"/>
      <c r="F180" s="11"/>
      <c r="G180" s="11"/>
    </row>
  </sheetData>
  <mergeCells count="1">
    <mergeCell ref="A2:D2"/>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G247"/>
  <sheetViews>
    <sheetView workbookViewId="0">
      <selection activeCell="A7" sqref="A7"/>
    </sheetView>
  </sheetViews>
  <sheetFormatPr defaultColWidth="9.1796875" defaultRowHeight="13" outlineLevelRow="1" x14ac:dyDescent="0.3"/>
  <cols>
    <col min="1" max="1" width="52.7265625" style="22" bestFit="1" customWidth="1"/>
    <col min="2" max="4" width="15.1796875" style="22" customWidth="1"/>
    <col min="5" max="5" width="9.1796875" style="22" customWidth="1"/>
    <col min="6" max="16384" width="9.1796875" style="22"/>
  </cols>
  <sheetData>
    <row r="2" spans="1:7" ht="18.5" x14ac:dyDescent="0.3">
      <c r="A2" s="1" t="str">
        <f>DEBT_AS_OF_CURR_YEAR</f>
        <v>Державний та гарантований державою борг України за поточний рік</v>
      </c>
      <c r="B2" s="1"/>
      <c r="C2" s="1"/>
      <c r="D2" s="1"/>
      <c r="E2" s="26"/>
      <c r="F2" s="26"/>
      <c r="G2" s="26"/>
    </row>
    <row r="3" spans="1:7" x14ac:dyDescent="0.3">
      <c r="A3" s="24"/>
    </row>
    <row r="4" spans="1:7" s="27" customFormat="1" x14ac:dyDescent="0.3">
      <c r="A4" s="140" t="str">
        <f>$A$2 &amp; " (" &amp;D4 &amp; ")"</f>
        <v>Державний та гарантований державою борг України за поточний рік (млрд. грн)</v>
      </c>
      <c r="D4" s="27" t="str">
        <f>VALUAH</f>
        <v>млрд. грн</v>
      </c>
    </row>
    <row r="5" spans="1:7" s="14" customFormat="1" x14ac:dyDescent="0.25">
      <c r="A5" s="12"/>
      <c r="B5" s="13">
        <v>45657</v>
      </c>
      <c r="C5" s="13">
        <v>45688</v>
      </c>
      <c r="D5" s="33">
        <v>45716</v>
      </c>
    </row>
    <row r="6" spans="1:7" s="15" customFormat="1" x14ac:dyDescent="0.25">
      <c r="A6" s="149" t="str">
        <f>DEBT_TOTAL</f>
        <v>Загальна сума державного та гарантованого державою боргу</v>
      </c>
      <c r="B6" s="44">
        <f>SUM(B7:B8)</f>
        <v>6980.96486574559</v>
      </c>
      <c r="C6" s="44">
        <f>SUM(C7:C8)</f>
        <v>7068.0134176093798</v>
      </c>
      <c r="D6" s="44">
        <f>SUM(D7:D8)</f>
        <v>7019.5348415889603</v>
      </c>
    </row>
    <row r="7" spans="1:7" s="38" customFormat="1" outlineLevel="1" x14ac:dyDescent="0.3">
      <c r="A7" s="160" t="s">
        <v>57</v>
      </c>
      <c r="B7" s="161">
        <v>1932.48958136344</v>
      </c>
      <c r="C7" s="161">
        <v>1926.6620924290401</v>
      </c>
      <c r="D7" s="162">
        <v>1912.8025159085</v>
      </c>
    </row>
    <row r="8" spans="1:7" s="38" customFormat="1" outlineLevel="1" x14ac:dyDescent="0.3">
      <c r="A8" s="160" t="s">
        <v>95</v>
      </c>
      <c r="B8" s="161">
        <v>5048.4752843821498</v>
      </c>
      <c r="C8" s="161">
        <v>5141.3513251803397</v>
      </c>
      <c r="D8" s="162">
        <v>5106.7323256804602</v>
      </c>
    </row>
    <row r="9" spans="1:7" x14ac:dyDescent="0.3">
      <c r="B9" s="26"/>
      <c r="C9" s="26"/>
      <c r="D9" s="26"/>
      <c r="E9" s="26"/>
    </row>
    <row r="10" spans="1:7" x14ac:dyDescent="0.3">
      <c r="A10" s="140" t="str">
        <f>$A$2 &amp; " (" &amp;D10 &amp; ")"</f>
        <v>Державний та гарантований державою борг України за поточний рік (млрд. дол. США)</v>
      </c>
      <c r="B10" s="26"/>
      <c r="C10" s="26"/>
      <c r="D10" s="27" t="str">
        <f>VALUSD</f>
        <v>млрд. дол. США</v>
      </c>
      <c r="E10" s="26"/>
    </row>
    <row r="11" spans="1:7" s="34" customFormat="1" x14ac:dyDescent="0.3">
      <c r="A11" s="12"/>
      <c r="B11" s="13">
        <v>45657</v>
      </c>
      <c r="C11" s="13">
        <v>45688</v>
      </c>
      <c r="D11" s="33">
        <v>45716</v>
      </c>
      <c r="E11" s="14"/>
      <c r="F11" s="14"/>
      <c r="G11" s="14"/>
    </row>
    <row r="12" spans="1:7" s="36" customFormat="1" x14ac:dyDescent="0.3">
      <c r="A12" s="149" t="str">
        <f>DEBT_TOTAL</f>
        <v>Загальна сума державного та гарантованого державою боргу</v>
      </c>
      <c r="B12" s="44">
        <f>SUM(B13:B14)</f>
        <v>166.05925130833998</v>
      </c>
      <c r="C12" s="44">
        <f>SUM(C13:C14)</f>
        <v>168.99339180672001</v>
      </c>
      <c r="D12" s="44">
        <f>SUM(D13:D14)</f>
        <v>169.08837600780001</v>
      </c>
      <c r="E12" s="35"/>
    </row>
    <row r="13" spans="1:7" s="40" customFormat="1" outlineLevel="1" x14ac:dyDescent="0.3">
      <c r="A13" s="163" t="s">
        <v>57</v>
      </c>
      <c r="B13" s="161">
        <v>45.968971226080001</v>
      </c>
      <c r="C13" s="161">
        <v>46.065724925349997</v>
      </c>
      <c r="D13" s="162">
        <v>46.076083150560002</v>
      </c>
      <c r="E13" s="39"/>
    </row>
    <row r="14" spans="1:7" s="40" customFormat="1" outlineLevel="1" x14ac:dyDescent="0.3">
      <c r="A14" s="163" t="s">
        <v>95</v>
      </c>
      <c r="B14" s="161">
        <v>120.09028008225999</v>
      </c>
      <c r="C14" s="161">
        <v>122.92766688137</v>
      </c>
      <c r="D14" s="162">
        <v>123.01229285724</v>
      </c>
      <c r="E14" s="39"/>
    </row>
    <row r="15" spans="1:7" x14ac:dyDescent="0.3">
      <c r="B15" s="26"/>
      <c r="C15" s="26"/>
      <c r="D15" s="26"/>
      <c r="E15" s="26"/>
    </row>
    <row r="16" spans="1:7" s="41" customFormat="1" x14ac:dyDescent="0.3">
      <c r="B16" s="42"/>
      <c r="C16" s="42"/>
      <c r="D16" s="37" t="s">
        <v>175</v>
      </c>
      <c r="E16" s="42"/>
    </row>
    <row r="17" spans="1:7" s="34" customFormat="1" x14ac:dyDescent="0.3">
      <c r="A17" s="56"/>
      <c r="B17" s="13">
        <v>45657</v>
      </c>
      <c r="C17" s="13">
        <v>45688</v>
      </c>
      <c r="D17" s="13">
        <v>45716</v>
      </c>
      <c r="E17" s="14"/>
      <c r="F17" s="14"/>
      <c r="G17" s="14"/>
    </row>
    <row r="18" spans="1:7" s="36" customFormat="1" x14ac:dyDescent="0.3">
      <c r="A18" s="150" t="str">
        <f>DEBT_TOTAL</f>
        <v>Загальна сума державного та гарантованого державою боргу</v>
      </c>
      <c r="B18" s="44">
        <f>SUM(B19:B20)</f>
        <v>1</v>
      </c>
      <c r="C18" s="44">
        <f>SUM(C19:C20)</f>
        <v>1</v>
      </c>
      <c r="D18" s="44">
        <f>SUM(D19:D20)</f>
        <v>1</v>
      </c>
      <c r="E18" s="35"/>
    </row>
    <row r="19" spans="1:7" s="40" customFormat="1" outlineLevel="1" x14ac:dyDescent="0.3">
      <c r="A19" s="163" t="s">
        <v>57</v>
      </c>
      <c r="B19" s="164">
        <v>0.27682299999999999</v>
      </c>
      <c r="C19" s="164">
        <v>0.27258900000000003</v>
      </c>
      <c r="D19" s="165">
        <v>0.27249699999999999</v>
      </c>
      <c r="E19" s="39"/>
    </row>
    <row r="20" spans="1:7" s="40" customFormat="1" outlineLevel="1" x14ac:dyDescent="0.3">
      <c r="A20" s="163" t="s">
        <v>95</v>
      </c>
      <c r="B20" s="164">
        <v>0.72317699999999996</v>
      </c>
      <c r="C20" s="164">
        <v>0.72741100000000003</v>
      </c>
      <c r="D20" s="165">
        <v>0.72750300000000001</v>
      </c>
      <c r="E20" s="39"/>
    </row>
    <row r="21" spans="1:7" x14ac:dyDescent="0.3">
      <c r="B21" s="26"/>
      <c r="C21" s="26"/>
      <c r="D21" s="26"/>
      <c r="E21" s="26"/>
    </row>
    <row r="22" spans="1:7" x14ac:dyDescent="0.3">
      <c r="B22" s="26"/>
      <c r="C22" s="26"/>
      <c r="D22" s="26"/>
      <c r="E22" s="26"/>
    </row>
    <row r="23" spans="1:7" x14ac:dyDescent="0.3">
      <c r="B23" s="26"/>
      <c r="C23" s="26"/>
      <c r="D23" s="26"/>
      <c r="E23" s="26"/>
    </row>
    <row r="24" spans="1:7" x14ac:dyDescent="0.3">
      <c r="B24" s="26"/>
      <c r="C24" s="26"/>
      <c r="D24" s="26"/>
      <c r="E24" s="26"/>
    </row>
    <row r="25" spans="1:7" s="41" customFormat="1" x14ac:dyDescent="0.3">
      <c r="B25" s="42"/>
      <c r="C25" s="42"/>
      <c r="D25" s="42"/>
      <c r="E25" s="42"/>
    </row>
    <row r="26" spans="1:7" x14ac:dyDescent="0.3">
      <c r="B26" s="26"/>
      <c r="C26" s="26"/>
      <c r="D26" s="26"/>
      <c r="E26" s="26"/>
    </row>
    <row r="27" spans="1:7" x14ac:dyDescent="0.3">
      <c r="B27" s="26"/>
      <c r="C27" s="26"/>
      <c r="D27" s="26"/>
      <c r="E27" s="26"/>
    </row>
    <row r="28" spans="1:7" x14ac:dyDescent="0.3">
      <c r="B28" s="26"/>
      <c r="C28" s="26"/>
      <c r="D28" s="26"/>
      <c r="E28" s="26"/>
    </row>
    <row r="29" spans="1:7" x14ac:dyDescent="0.3">
      <c r="B29" s="26"/>
      <c r="C29" s="26"/>
      <c r="D29" s="26"/>
      <c r="E29" s="26"/>
    </row>
    <row r="30" spans="1:7" x14ac:dyDescent="0.3">
      <c r="B30" s="26"/>
      <c r="C30" s="26"/>
      <c r="D30" s="26"/>
      <c r="E30" s="26"/>
    </row>
    <row r="31" spans="1:7" x14ac:dyDescent="0.3">
      <c r="B31" s="26"/>
      <c r="C31" s="26"/>
      <c r="D31" s="26"/>
      <c r="E31" s="26"/>
    </row>
    <row r="32" spans="1:7" x14ac:dyDescent="0.3">
      <c r="B32" s="26"/>
      <c r="C32" s="26"/>
      <c r="D32" s="26"/>
      <c r="E32" s="26"/>
    </row>
    <row r="33" spans="2:5" x14ac:dyDescent="0.3">
      <c r="B33" s="26"/>
      <c r="C33" s="26"/>
      <c r="D33" s="26"/>
      <c r="E33" s="26"/>
    </row>
    <row r="34" spans="2:5" x14ac:dyDescent="0.3">
      <c r="B34" s="26"/>
      <c r="C34" s="26"/>
      <c r="D34" s="26"/>
      <c r="E34" s="26"/>
    </row>
    <row r="35" spans="2:5" x14ac:dyDescent="0.3">
      <c r="B35" s="26"/>
      <c r="C35" s="26"/>
      <c r="D35" s="26"/>
      <c r="E35" s="26"/>
    </row>
    <row r="36" spans="2:5" x14ac:dyDescent="0.3">
      <c r="B36" s="26"/>
      <c r="C36" s="26"/>
      <c r="D36" s="26"/>
      <c r="E36" s="26"/>
    </row>
    <row r="37" spans="2:5" x14ac:dyDescent="0.3">
      <c r="B37" s="26"/>
      <c r="C37" s="26"/>
      <c r="D37" s="26"/>
      <c r="E37" s="26"/>
    </row>
    <row r="38" spans="2:5" x14ac:dyDescent="0.3">
      <c r="B38" s="26"/>
      <c r="C38" s="26"/>
      <c r="D38" s="26"/>
      <c r="E38" s="26"/>
    </row>
    <row r="39" spans="2:5" x14ac:dyDescent="0.3">
      <c r="B39" s="26"/>
      <c r="C39" s="26"/>
      <c r="D39" s="26"/>
      <c r="E39" s="26"/>
    </row>
    <row r="40" spans="2:5" x14ac:dyDescent="0.3">
      <c r="B40" s="26"/>
      <c r="C40" s="26"/>
      <c r="D40" s="26"/>
      <c r="E40" s="26"/>
    </row>
    <row r="41" spans="2:5" x14ac:dyDescent="0.3">
      <c r="B41" s="26"/>
      <c r="C41" s="26"/>
      <c r="D41" s="26"/>
      <c r="E41" s="26"/>
    </row>
    <row r="42" spans="2:5" x14ac:dyDescent="0.3">
      <c r="B42" s="26"/>
      <c r="C42" s="26"/>
      <c r="D42" s="26"/>
      <c r="E42" s="26"/>
    </row>
    <row r="43" spans="2:5" x14ac:dyDescent="0.3">
      <c r="B43" s="26"/>
      <c r="C43" s="26"/>
      <c r="D43" s="26"/>
      <c r="E43" s="26"/>
    </row>
    <row r="44" spans="2:5" x14ac:dyDescent="0.3">
      <c r="B44" s="26"/>
      <c r="C44" s="26"/>
      <c r="D44" s="26"/>
      <c r="E44" s="26"/>
    </row>
    <row r="45" spans="2:5" x14ac:dyDescent="0.3">
      <c r="B45" s="26"/>
      <c r="C45" s="26"/>
      <c r="D45" s="26"/>
      <c r="E45" s="26"/>
    </row>
    <row r="46" spans="2:5" x14ac:dyDescent="0.3">
      <c r="B46" s="26"/>
      <c r="C46" s="26"/>
      <c r="D46" s="26"/>
      <c r="E46" s="26"/>
    </row>
    <row r="47" spans="2:5" x14ac:dyDescent="0.3">
      <c r="B47" s="26"/>
      <c r="C47" s="26"/>
      <c r="D47" s="26"/>
      <c r="E47" s="26"/>
    </row>
    <row r="48" spans="2:5" x14ac:dyDescent="0.3">
      <c r="B48" s="26"/>
      <c r="C48" s="26"/>
      <c r="D48" s="26"/>
      <c r="E48" s="26"/>
    </row>
    <row r="49" spans="2:5" x14ac:dyDescent="0.3">
      <c r="B49" s="26"/>
      <c r="C49" s="26"/>
      <c r="D49" s="26"/>
      <c r="E49" s="26"/>
    </row>
    <row r="50" spans="2:5" x14ac:dyDescent="0.3">
      <c r="B50" s="26"/>
      <c r="C50" s="26"/>
      <c r="D50" s="26"/>
      <c r="E50" s="26"/>
    </row>
    <row r="51" spans="2:5" x14ac:dyDescent="0.3">
      <c r="B51" s="26"/>
      <c r="C51" s="26"/>
      <c r="D51" s="26"/>
      <c r="E51" s="26"/>
    </row>
    <row r="52" spans="2:5" x14ac:dyDescent="0.3">
      <c r="B52" s="26"/>
      <c r="C52" s="26"/>
      <c r="D52" s="26"/>
      <c r="E52" s="26"/>
    </row>
    <row r="53" spans="2:5" x14ac:dyDescent="0.3">
      <c r="B53" s="26"/>
      <c r="C53" s="26"/>
      <c r="D53" s="26"/>
      <c r="E53" s="26"/>
    </row>
    <row r="54" spans="2:5" x14ac:dyDescent="0.3">
      <c r="B54" s="26"/>
      <c r="C54" s="26"/>
      <c r="D54" s="26"/>
      <c r="E54" s="26"/>
    </row>
    <row r="55" spans="2:5" x14ac:dyDescent="0.3">
      <c r="B55" s="26"/>
      <c r="C55" s="26"/>
      <c r="D55" s="26"/>
      <c r="E55" s="26"/>
    </row>
    <row r="56" spans="2:5" x14ac:dyDescent="0.3">
      <c r="B56" s="26"/>
      <c r="C56" s="26"/>
      <c r="D56" s="26"/>
      <c r="E56" s="26"/>
    </row>
    <row r="57" spans="2:5" x14ac:dyDescent="0.3">
      <c r="B57" s="26"/>
      <c r="C57" s="26"/>
      <c r="D57" s="26"/>
      <c r="E57" s="26"/>
    </row>
    <row r="58" spans="2:5" x14ac:dyDescent="0.3">
      <c r="B58" s="26"/>
      <c r="C58" s="26"/>
      <c r="D58" s="26"/>
      <c r="E58" s="26"/>
    </row>
    <row r="59" spans="2:5" x14ac:dyDescent="0.3">
      <c r="B59" s="26"/>
      <c r="C59" s="26"/>
      <c r="D59" s="26"/>
      <c r="E59" s="26"/>
    </row>
    <row r="60" spans="2:5" x14ac:dyDescent="0.3">
      <c r="B60" s="26"/>
      <c r="C60" s="26"/>
      <c r="D60" s="26"/>
      <c r="E60" s="26"/>
    </row>
    <row r="61" spans="2:5" x14ac:dyDescent="0.3">
      <c r="B61" s="26"/>
      <c r="C61" s="26"/>
      <c r="D61" s="26"/>
      <c r="E61" s="26"/>
    </row>
    <row r="62" spans="2:5" x14ac:dyDescent="0.3">
      <c r="B62" s="26"/>
      <c r="C62" s="26"/>
      <c r="D62" s="26"/>
      <c r="E62" s="26"/>
    </row>
    <row r="63" spans="2:5" x14ac:dyDescent="0.3">
      <c r="B63" s="26"/>
      <c r="C63" s="26"/>
      <c r="D63" s="26"/>
      <c r="E63" s="26"/>
    </row>
    <row r="64" spans="2:5" x14ac:dyDescent="0.3">
      <c r="B64" s="26"/>
      <c r="C64" s="26"/>
      <c r="D64" s="26"/>
      <c r="E64" s="26"/>
    </row>
    <row r="65" spans="2:5" x14ac:dyDescent="0.3">
      <c r="B65" s="26"/>
      <c r="C65" s="26"/>
      <c r="D65" s="26"/>
      <c r="E65" s="26"/>
    </row>
    <row r="66" spans="2:5" x14ac:dyDescent="0.3">
      <c r="B66" s="26"/>
      <c r="C66" s="26"/>
      <c r="D66" s="26"/>
      <c r="E66" s="26"/>
    </row>
    <row r="67" spans="2:5" x14ac:dyDescent="0.3">
      <c r="B67" s="26"/>
      <c r="C67" s="26"/>
      <c r="D67" s="26"/>
      <c r="E67" s="26"/>
    </row>
    <row r="68" spans="2:5" x14ac:dyDescent="0.3">
      <c r="B68" s="26"/>
      <c r="C68" s="26"/>
      <c r="D68" s="26"/>
      <c r="E68" s="26"/>
    </row>
    <row r="69" spans="2:5" x14ac:dyDescent="0.3">
      <c r="B69" s="26"/>
      <c r="C69" s="26"/>
      <c r="D69" s="26"/>
      <c r="E69" s="26"/>
    </row>
    <row r="70" spans="2:5" x14ac:dyDescent="0.3">
      <c r="B70" s="26"/>
      <c r="C70" s="26"/>
      <c r="D70" s="26"/>
      <c r="E70" s="26"/>
    </row>
    <row r="71" spans="2:5" x14ac:dyDescent="0.3">
      <c r="B71" s="26"/>
      <c r="C71" s="26"/>
      <c r="D71" s="26"/>
      <c r="E71" s="26"/>
    </row>
    <row r="72" spans="2:5" x14ac:dyDescent="0.3">
      <c r="B72" s="26"/>
      <c r="C72" s="26"/>
      <c r="D72" s="26"/>
      <c r="E72" s="26"/>
    </row>
    <row r="73" spans="2:5" x14ac:dyDescent="0.3">
      <c r="B73" s="26"/>
      <c r="C73" s="26"/>
      <c r="D73" s="26"/>
      <c r="E73" s="26"/>
    </row>
    <row r="74" spans="2:5" x14ac:dyDescent="0.3">
      <c r="B74" s="26"/>
      <c r="C74" s="26"/>
      <c r="D74" s="26"/>
      <c r="E74" s="26"/>
    </row>
    <row r="75" spans="2:5" x14ac:dyDescent="0.3">
      <c r="B75" s="26"/>
      <c r="C75" s="26"/>
      <c r="D75" s="26"/>
      <c r="E75" s="26"/>
    </row>
    <row r="76" spans="2:5" x14ac:dyDescent="0.3">
      <c r="B76" s="26"/>
      <c r="C76" s="26"/>
      <c r="D76" s="26"/>
      <c r="E76" s="26"/>
    </row>
    <row r="77" spans="2:5" x14ac:dyDescent="0.3">
      <c r="B77" s="26"/>
      <c r="C77" s="26"/>
      <c r="D77" s="26"/>
      <c r="E77" s="26"/>
    </row>
    <row r="78" spans="2:5" x14ac:dyDescent="0.3">
      <c r="B78" s="26"/>
      <c r="C78" s="26"/>
      <c r="D78" s="26"/>
      <c r="E78" s="26"/>
    </row>
    <row r="79" spans="2:5" x14ac:dyDescent="0.3">
      <c r="B79" s="26"/>
      <c r="C79" s="26"/>
      <c r="D79" s="26"/>
      <c r="E79" s="26"/>
    </row>
    <row r="80" spans="2:5" x14ac:dyDescent="0.3">
      <c r="B80" s="26"/>
      <c r="C80" s="26"/>
      <c r="D80" s="26"/>
      <c r="E80" s="26"/>
    </row>
    <row r="81" spans="2:5" x14ac:dyDescent="0.3">
      <c r="B81" s="26"/>
      <c r="C81" s="26"/>
      <c r="D81" s="26"/>
      <c r="E81" s="26"/>
    </row>
    <row r="82" spans="2:5" x14ac:dyDescent="0.3">
      <c r="B82" s="26"/>
      <c r="C82" s="26"/>
      <c r="D82" s="26"/>
      <c r="E82" s="26"/>
    </row>
    <row r="83" spans="2:5" x14ac:dyDescent="0.3">
      <c r="B83" s="26"/>
      <c r="C83" s="26"/>
      <c r="D83" s="26"/>
      <c r="E83" s="26"/>
    </row>
    <row r="84" spans="2:5" x14ac:dyDescent="0.3">
      <c r="B84" s="26"/>
      <c r="C84" s="26"/>
      <c r="D84" s="26"/>
      <c r="E84" s="26"/>
    </row>
    <row r="85" spans="2:5" x14ac:dyDescent="0.3">
      <c r="B85" s="26"/>
      <c r="C85" s="26"/>
      <c r="D85" s="26"/>
      <c r="E85" s="26"/>
    </row>
    <row r="86" spans="2:5" x14ac:dyDescent="0.3">
      <c r="B86" s="26"/>
      <c r="C86" s="26"/>
      <c r="D86" s="26"/>
      <c r="E86" s="26"/>
    </row>
    <row r="87" spans="2:5" x14ac:dyDescent="0.3">
      <c r="B87" s="26"/>
      <c r="C87" s="26"/>
      <c r="D87" s="26"/>
      <c r="E87" s="26"/>
    </row>
    <row r="88" spans="2:5" x14ac:dyDescent="0.3">
      <c r="B88" s="26"/>
      <c r="C88" s="26"/>
      <c r="D88" s="26"/>
      <c r="E88" s="26"/>
    </row>
    <row r="89" spans="2:5" x14ac:dyDescent="0.3">
      <c r="B89" s="26"/>
      <c r="C89" s="26"/>
      <c r="D89" s="26"/>
      <c r="E89" s="26"/>
    </row>
    <row r="90" spans="2:5" x14ac:dyDescent="0.3">
      <c r="B90" s="26"/>
      <c r="C90" s="26"/>
      <c r="D90" s="26"/>
      <c r="E90" s="26"/>
    </row>
    <row r="91" spans="2:5" x14ac:dyDescent="0.3">
      <c r="B91" s="26"/>
      <c r="C91" s="26"/>
      <c r="D91" s="26"/>
      <c r="E91" s="26"/>
    </row>
    <row r="92" spans="2:5" x14ac:dyDescent="0.3">
      <c r="B92" s="26"/>
      <c r="C92" s="26"/>
      <c r="D92" s="26"/>
      <c r="E92" s="26"/>
    </row>
    <row r="93" spans="2:5" x14ac:dyDescent="0.3">
      <c r="B93" s="26"/>
      <c r="C93" s="26"/>
      <c r="D93" s="26"/>
      <c r="E93" s="26"/>
    </row>
    <row r="94" spans="2:5" x14ac:dyDescent="0.3">
      <c r="B94" s="26"/>
      <c r="C94" s="26"/>
      <c r="D94" s="26"/>
      <c r="E94" s="26"/>
    </row>
    <row r="95" spans="2:5" x14ac:dyDescent="0.3">
      <c r="B95" s="26"/>
      <c r="C95" s="26"/>
      <c r="D95" s="26"/>
      <c r="E95" s="26"/>
    </row>
    <row r="96" spans="2:5" x14ac:dyDescent="0.3">
      <c r="B96" s="26"/>
      <c r="C96" s="26"/>
      <c r="D96" s="26"/>
      <c r="E96" s="26"/>
    </row>
    <row r="97" spans="2:5" x14ac:dyDescent="0.3">
      <c r="B97" s="26"/>
      <c r="C97" s="26"/>
      <c r="D97" s="26"/>
      <c r="E97" s="26"/>
    </row>
    <row r="98" spans="2:5" x14ac:dyDescent="0.3">
      <c r="B98" s="26"/>
      <c r="C98" s="26"/>
      <c r="D98" s="26"/>
      <c r="E98" s="26"/>
    </row>
    <row r="99" spans="2:5" x14ac:dyDescent="0.3">
      <c r="B99" s="26"/>
      <c r="C99" s="26"/>
      <c r="D99" s="26"/>
      <c r="E99" s="26"/>
    </row>
    <row r="100" spans="2:5" x14ac:dyDescent="0.3">
      <c r="B100" s="26"/>
      <c r="C100" s="26"/>
      <c r="D100" s="26"/>
      <c r="E100" s="26"/>
    </row>
    <row r="101" spans="2:5" x14ac:dyDescent="0.3">
      <c r="B101" s="26"/>
      <c r="C101" s="26"/>
      <c r="D101" s="26"/>
      <c r="E101" s="26"/>
    </row>
    <row r="102" spans="2:5" x14ac:dyDescent="0.3">
      <c r="B102" s="26"/>
      <c r="C102" s="26"/>
      <c r="D102" s="26"/>
      <c r="E102" s="26"/>
    </row>
    <row r="103" spans="2:5" x14ac:dyDescent="0.3">
      <c r="B103" s="26"/>
      <c r="C103" s="26"/>
      <c r="D103" s="26"/>
      <c r="E103" s="26"/>
    </row>
    <row r="104" spans="2:5" x14ac:dyDescent="0.3">
      <c r="B104" s="26"/>
      <c r="C104" s="26"/>
      <c r="D104" s="26"/>
      <c r="E104" s="26"/>
    </row>
    <row r="105" spans="2:5" x14ac:dyDescent="0.3">
      <c r="B105" s="26"/>
      <c r="C105" s="26"/>
      <c r="D105" s="26"/>
      <c r="E105" s="26"/>
    </row>
    <row r="106" spans="2:5" x14ac:dyDescent="0.3">
      <c r="B106" s="26"/>
      <c r="C106" s="26"/>
      <c r="D106" s="26"/>
      <c r="E106" s="26"/>
    </row>
    <row r="107" spans="2:5" x14ac:dyDescent="0.3">
      <c r="B107" s="26"/>
      <c r="C107" s="26"/>
      <c r="D107" s="26"/>
      <c r="E107" s="26"/>
    </row>
    <row r="108" spans="2:5" x14ac:dyDescent="0.3">
      <c r="B108" s="26"/>
      <c r="C108" s="26"/>
      <c r="D108" s="26"/>
      <c r="E108" s="26"/>
    </row>
    <row r="109" spans="2:5" x14ac:dyDescent="0.3">
      <c r="B109" s="26"/>
      <c r="C109" s="26"/>
      <c r="D109" s="26"/>
      <c r="E109" s="26"/>
    </row>
    <row r="110" spans="2:5" x14ac:dyDescent="0.3">
      <c r="B110" s="26"/>
      <c r="C110" s="26"/>
      <c r="D110" s="26"/>
      <c r="E110" s="26"/>
    </row>
    <row r="111" spans="2:5" x14ac:dyDescent="0.3">
      <c r="B111" s="26"/>
      <c r="C111" s="26"/>
      <c r="D111" s="26"/>
      <c r="E111" s="26"/>
    </row>
    <row r="112" spans="2:5" x14ac:dyDescent="0.3">
      <c r="B112" s="26"/>
      <c r="C112" s="26"/>
      <c r="D112" s="26"/>
      <c r="E112" s="26"/>
    </row>
    <row r="113" spans="2:5" x14ac:dyDescent="0.3">
      <c r="B113" s="26"/>
      <c r="C113" s="26"/>
      <c r="D113" s="26"/>
      <c r="E113" s="26"/>
    </row>
    <row r="114" spans="2:5" x14ac:dyDescent="0.3">
      <c r="B114" s="26"/>
      <c r="C114" s="26"/>
      <c r="D114" s="26"/>
      <c r="E114" s="26"/>
    </row>
    <row r="115" spans="2:5" x14ac:dyDescent="0.3">
      <c r="B115" s="26"/>
      <c r="C115" s="26"/>
      <c r="D115" s="26"/>
      <c r="E115" s="26"/>
    </row>
    <row r="116" spans="2:5" x14ac:dyDescent="0.3">
      <c r="B116" s="26"/>
      <c r="C116" s="26"/>
      <c r="D116" s="26"/>
      <c r="E116" s="26"/>
    </row>
    <row r="117" spans="2:5" x14ac:dyDescent="0.3">
      <c r="B117" s="26"/>
      <c r="C117" s="26"/>
      <c r="D117" s="26"/>
      <c r="E117" s="26"/>
    </row>
    <row r="118" spans="2:5" x14ac:dyDescent="0.3">
      <c r="B118" s="26"/>
      <c r="C118" s="26"/>
      <c r="D118" s="26"/>
      <c r="E118" s="26"/>
    </row>
    <row r="119" spans="2:5" x14ac:dyDescent="0.3">
      <c r="B119" s="26"/>
      <c r="C119" s="26"/>
      <c r="D119" s="26"/>
      <c r="E119" s="26"/>
    </row>
    <row r="120" spans="2:5" x14ac:dyDescent="0.3">
      <c r="B120" s="26"/>
      <c r="C120" s="26"/>
      <c r="D120" s="26"/>
      <c r="E120" s="26"/>
    </row>
    <row r="121" spans="2:5" x14ac:dyDescent="0.3">
      <c r="B121" s="26"/>
      <c r="C121" s="26"/>
      <c r="D121" s="26"/>
      <c r="E121" s="26"/>
    </row>
    <row r="122" spans="2:5" x14ac:dyDescent="0.3">
      <c r="B122" s="26"/>
      <c r="C122" s="26"/>
      <c r="D122" s="26"/>
      <c r="E122" s="26"/>
    </row>
    <row r="123" spans="2:5" x14ac:dyDescent="0.3">
      <c r="B123" s="26"/>
      <c r="C123" s="26"/>
      <c r="D123" s="26"/>
      <c r="E123" s="26"/>
    </row>
    <row r="124" spans="2:5" x14ac:dyDescent="0.3">
      <c r="B124" s="26"/>
      <c r="C124" s="26"/>
      <c r="D124" s="26"/>
      <c r="E124" s="26"/>
    </row>
    <row r="125" spans="2:5" x14ac:dyDescent="0.3">
      <c r="B125" s="26"/>
      <c r="C125" s="26"/>
      <c r="D125" s="26"/>
      <c r="E125" s="26"/>
    </row>
    <row r="126" spans="2:5" x14ac:dyDescent="0.3">
      <c r="B126" s="26"/>
      <c r="C126" s="26"/>
      <c r="D126" s="26"/>
      <c r="E126" s="26"/>
    </row>
    <row r="127" spans="2:5" x14ac:dyDescent="0.3">
      <c r="B127" s="26"/>
      <c r="C127" s="26"/>
      <c r="D127" s="26"/>
      <c r="E127" s="26"/>
    </row>
    <row r="128" spans="2:5" x14ac:dyDescent="0.3">
      <c r="B128" s="26"/>
      <c r="C128" s="26"/>
      <c r="D128" s="26"/>
      <c r="E128" s="26"/>
    </row>
    <row r="129" spans="2:5" x14ac:dyDescent="0.3">
      <c r="B129" s="26"/>
      <c r="C129" s="26"/>
      <c r="D129" s="26"/>
      <c r="E129" s="26"/>
    </row>
    <row r="130" spans="2:5" x14ac:dyDescent="0.3">
      <c r="B130" s="26"/>
      <c r="C130" s="26"/>
      <c r="D130" s="26"/>
      <c r="E130" s="26"/>
    </row>
    <row r="131" spans="2:5" x14ac:dyDescent="0.3">
      <c r="B131" s="26"/>
      <c r="C131" s="26"/>
      <c r="D131" s="26"/>
      <c r="E131" s="26"/>
    </row>
    <row r="132" spans="2:5" x14ac:dyDescent="0.3">
      <c r="B132" s="26"/>
      <c r="C132" s="26"/>
      <c r="D132" s="26"/>
      <c r="E132" s="26"/>
    </row>
    <row r="133" spans="2:5" x14ac:dyDescent="0.3">
      <c r="B133" s="26"/>
      <c r="C133" s="26"/>
      <c r="D133" s="26"/>
      <c r="E133" s="26"/>
    </row>
    <row r="134" spans="2:5" x14ac:dyDescent="0.3">
      <c r="B134" s="26"/>
      <c r="C134" s="26"/>
      <c r="D134" s="26"/>
      <c r="E134" s="26"/>
    </row>
    <row r="135" spans="2:5" x14ac:dyDescent="0.3">
      <c r="B135" s="26"/>
      <c r="C135" s="26"/>
      <c r="D135" s="26"/>
      <c r="E135" s="26"/>
    </row>
    <row r="136" spans="2:5" x14ac:dyDescent="0.3">
      <c r="B136" s="26"/>
      <c r="C136" s="26"/>
      <c r="D136" s="26"/>
      <c r="E136" s="26"/>
    </row>
    <row r="137" spans="2:5" x14ac:dyDescent="0.3">
      <c r="B137" s="26"/>
      <c r="C137" s="26"/>
      <c r="D137" s="26"/>
      <c r="E137" s="26"/>
    </row>
    <row r="138" spans="2:5" x14ac:dyDescent="0.3">
      <c r="B138" s="26"/>
      <c r="C138" s="26"/>
      <c r="D138" s="26"/>
      <c r="E138" s="26"/>
    </row>
    <row r="139" spans="2:5" x14ac:dyDescent="0.3">
      <c r="B139" s="26"/>
      <c r="C139" s="26"/>
      <c r="D139" s="26"/>
      <c r="E139" s="26"/>
    </row>
    <row r="140" spans="2:5" x14ac:dyDescent="0.3">
      <c r="B140" s="26"/>
      <c r="C140" s="26"/>
      <c r="D140" s="26"/>
      <c r="E140" s="26"/>
    </row>
    <row r="141" spans="2:5" x14ac:dyDescent="0.3">
      <c r="B141" s="26"/>
      <c r="C141" s="26"/>
      <c r="D141" s="26"/>
      <c r="E141" s="26"/>
    </row>
    <row r="142" spans="2:5" x14ac:dyDescent="0.3">
      <c r="B142" s="26"/>
      <c r="C142" s="26"/>
      <c r="D142" s="26"/>
      <c r="E142" s="26"/>
    </row>
    <row r="143" spans="2:5" x14ac:dyDescent="0.3">
      <c r="B143" s="26"/>
      <c r="C143" s="26"/>
      <c r="D143" s="26"/>
      <c r="E143" s="26"/>
    </row>
    <row r="144" spans="2:5" x14ac:dyDescent="0.3">
      <c r="B144" s="26"/>
      <c r="C144" s="26"/>
      <c r="D144" s="26"/>
      <c r="E144" s="26"/>
    </row>
    <row r="145" spans="2:5" x14ac:dyDescent="0.3">
      <c r="B145" s="26"/>
      <c r="C145" s="26"/>
      <c r="D145" s="26"/>
      <c r="E145" s="26"/>
    </row>
    <row r="146" spans="2:5" x14ac:dyDescent="0.3">
      <c r="B146" s="26"/>
      <c r="C146" s="26"/>
      <c r="D146" s="26"/>
      <c r="E146" s="26"/>
    </row>
    <row r="147" spans="2:5" x14ac:dyDescent="0.3">
      <c r="B147" s="26"/>
      <c r="C147" s="26"/>
      <c r="D147" s="26"/>
      <c r="E147" s="26"/>
    </row>
    <row r="148" spans="2:5" x14ac:dyDescent="0.3">
      <c r="B148" s="26"/>
      <c r="C148" s="26"/>
      <c r="D148" s="26"/>
      <c r="E148" s="26"/>
    </row>
    <row r="149" spans="2:5" x14ac:dyDescent="0.3">
      <c r="B149" s="26"/>
      <c r="C149" s="26"/>
      <c r="D149" s="26"/>
      <c r="E149" s="26"/>
    </row>
    <row r="150" spans="2:5" x14ac:dyDescent="0.3">
      <c r="B150" s="26"/>
      <c r="C150" s="26"/>
      <c r="D150" s="26"/>
      <c r="E150" s="26"/>
    </row>
    <row r="151" spans="2:5" x14ac:dyDescent="0.3">
      <c r="B151" s="26"/>
      <c r="C151" s="26"/>
      <c r="D151" s="26"/>
      <c r="E151" s="26"/>
    </row>
    <row r="152" spans="2:5" x14ac:dyDescent="0.3">
      <c r="B152" s="26"/>
      <c r="C152" s="26"/>
      <c r="D152" s="26"/>
      <c r="E152" s="26"/>
    </row>
    <row r="153" spans="2:5" x14ac:dyDescent="0.3">
      <c r="B153" s="26"/>
      <c r="C153" s="26"/>
      <c r="D153" s="26"/>
      <c r="E153" s="26"/>
    </row>
    <row r="154" spans="2:5" x14ac:dyDescent="0.3">
      <c r="B154" s="26"/>
      <c r="C154" s="26"/>
      <c r="D154" s="26"/>
      <c r="E154" s="26"/>
    </row>
    <row r="155" spans="2:5" x14ac:dyDescent="0.3">
      <c r="B155" s="26"/>
      <c r="C155" s="26"/>
      <c r="D155" s="26"/>
      <c r="E155" s="26"/>
    </row>
    <row r="156" spans="2:5" x14ac:dyDescent="0.3">
      <c r="B156" s="26"/>
      <c r="C156" s="26"/>
      <c r="D156" s="26"/>
      <c r="E156" s="26"/>
    </row>
    <row r="157" spans="2:5" x14ac:dyDescent="0.3">
      <c r="B157" s="26"/>
      <c r="C157" s="26"/>
      <c r="D157" s="26"/>
      <c r="E157" s="26"/>
    </row>
    <row r="158" spans="2:5" x14ac:dyDescent="0.3">
      <c r="B158" s="26"/>
      <c r="C158" s="26"/>
      <c r="D158" s="26"/>
      <c r="E158" s="26"/>
    </row>
    <row r="159" spans="2:5" x14ac:dyDescent="0.3">
      <c r="B159" s="26"/>
      <c r="C159" s="26"/>
      <c r="D159" s="26"/>
      <c r="E159" s="26"/>
    </row>
    <row r="160" spans="2:5" x14ac:dyDescent="0.3">
      <c r="B160" s="26"/>
      <c r="C160" s="26"/>
      <c r="D160" s="26"/>
      <c r="E160" s="26"/>
    </row>
    <row r="161" spans="2:5" x14ac:dyDescent="0.3">
      <c r="B161" s="26"/>
      <c r="C161" s="26"/>
      <c r="D161" s="26"/>
      <c r="E161" s="26"/>
    </row>
    <row r="162" spans="2:5" x14ac:dyDescent="0.3">
      <c r="B162" s="26"/>
      <c r="C162" s="26"/>
      <c r="D162" s="26"/>
      <c r="E162" s="26"/>
    </row>
    <row r="163" spans="2:5" x14ac:dyDescent="0.3">
      <c r="B163" s="26"/>
      <c r="C163" s="26"/>
      <c r="D163" s="26"/>
      <c r="E163" s="26"/>
    </row>
    <row r="164" spans="2:5" x14ac:dyDescent="0.3">
      <c r="B164" s="26"/>
      <c r="C164" s="26"/>
      <c r="D164" s="26"/>
      <c r="E164" s="26"/>
    </row>
    <row r="165" spans="2:5" x14ac:dyDescent="0.3">
      <c r="B165" s="26"/>
      <c r="C165" s="26"/>
      <c r="D165" s="26"/>
      <c r="E165" s="26"/>
    </row>
    <row r="166" spans="2:5" x14ac:dyDescent="0.3">
      <c r="B166" s="26"/>
      <c r="C166" s="26"/>
      <c r="D166" s="26"/>
      <c r="E166" s="26"/>
    </row>
    <row r="167" spans="2:5" x14ac:dyDescent="0.3">
      <c r="B167" s="26"/>
      <c r="C167" s="26"/>
      <c r="D167" s="26"/>
      <c r="E167" s="26"/>
    </row>
    <row r="168" spans="2:5" x14ac:dyDescent="0.3">
      <c r="B168" s="26"/>
      <c r="C168" s="26"/>
      <c r="D168" s="26"/>
      <c r="E168" s="26"/>
    </row>
    <row r="169" spans="2:5" x14ac:dyDescent="0.3">
      <c r="B169" s="26"/>
      <c r="C169" s="26"/>
      <c r="D169" s="26"/>
      <c r="E169" s="26"/>
    </row>
    <row r="170" spans="2:5" x14ac:dyDescent="0.3">
      <c r="B170" s="26"/>
      <c r="C170" s="26"/>
      <c r="D170" s="26"/>
      <c r="E170" s="26"/>
    </row>
    <row r="171" spans="2:5" x14ac:dyDescent="0.3">
      <c r="B171" s="26"/>
      <c r="C171" s="26"/>
      <c r="D171" s="26"/>
      <c r="E171" s="26"/>
    </row>
    <row r="172" spans="2:5" x14ac:dyDescent="0.3">
      <c r="B172" s="26"/>
      <c r="C172" s="26"/>
      <c r="D172" s="26"/>
      <c r="E172" s="26"/>
    </row>
    <row r="173" spans="2:5" x14ac:dyDescent="0.3">
      <c r="B173" s="26"/>
      <c r="C173" s="26"/>
      <c r="D173" s="26"/>
      <c r="E173" s="26"/>
    </row>
    <row r="174" spans="2:5" x14ac:dyDescent="0.3">
      <c r="B174" s="26"/>
      <c r="C174" s="26"/>
      <c r="D174" s="26"/>
      <c r="E174" s="26"/>
    </row>
    <row r="175" spans="2:5" x14ac:dyDescent="0.3">
      <c r="B175" s="26"/>
      <c r="C175" s="26"/>
      <c r="D175" s="26"/>
      <c r="E175" s="26"/>
    </row>
    <row r="176" spans="2:5" x14ac:dyDescent="0.3">
      <c r="B176" s="26"/>
      <c r="C176" s="26"/>
      <c r="D176" s="26"/>
      <c r="E176" s="26"/>
    </row>
    <row r="177" spans="2:5" x14ac:dyDescent="0.3">
      <c r="B177" s="26"/>
      <c r="C177" s="26"/>
      <c r="D177" s="26"/>
      <c r="E177" s="26"/>
    </row>
    <row r="178" spans="2:5" x14ac:dyDescent="0.3">
      <c r="B178" s="26"/>
      <c r="C178" s="26"/>
      <c r="D178" s="26"/>
      <c r="E178" s="26"/>
    </row>
    <row r="179" spans="2:5" x14ac:dyDescent="0.3">
      <c r="B179" s="26"/>
      <c r="C179" s="26"/>
      <c r="D179" s="26"/>
      <c r="E179" s="26"/>
    </row>
    <row r="180" spans="2:5" x14ac:dyDescent="0.3">
      <c r="B180" s="26"/>
      <c r="C180" s="26"/>
      <c r="D180" s="26"/>
      <c r="E180" s="26"/>
    </row>
    <row r="181" spans="2:5" x14ac:dyDescent="0.3">
      <c r="B181" s="26"/>
      <c r="C181" s="26"/>
      <c r="D181" s="26"/>
      <c r="E181" s="26"/>
    </row>
    <row r="182" spans="2:5" x14ac:dyDescent="0.3">
      <c r="B182" s="26"/>
      <c r="C182" s="26"/>
      <c r="D182" s="26"/>
      <c r="E182" s="26"/>
    </row>
    <row r="183" spans="2:5" x14ac:dyDescent="0.3">
      <c r="B183" s="26"/>
      <c r="C183" s="26"/>
      <c r="D183" s="26"/>
      <c r="E183" s="26"/>
    </row>
    <row r="184" spans="2:5" x14ac:dyDescent="0.3">
      <c r="B184" s="26"/>
      <c r="C184" s="26"/>
      <c r="D184" s="26"/>
      <c r="E184" s="26"/>
    </row>
    <row r="185" spans="2:5" x14ac:dyDescent="0.3">
      <c r="B185" s="26"/>
      <c r="C185" s="26"/>
      <c r="D185" s="26"/>
      <c r="E185" s="26"/>
    </row>
    <row r="186" spans="2:5" x14ac:dyDescent="0.3">
      <c r="B186" s="26"/>
      <c r="C186" s="26"/>
      <c r="D186" s="26"/>
      <c r="E186" s="26"/>
    </row>
    <row r="187" spans="2:5" x14ac:dyDescent="0.3">
      <c r="B187" s="26"/>
      <c r="C187" s="26"/>
      <c r="D187" s="26"/>
      <c r="E187" s="26"/>
    </row>
    <row r="188" spans="2:5" x14ac:dyDescent="0.3">
      <c r="B188" s="26"/>
      <c r="C188" s="26"/>
      <c r="D188" s="26"/>
      <c r="E188" s="26"/>
    </row>
    <row r="189" spans="2:5" x14ac:dyDescent="0.3">
      <c r="B189" s="26"/>
      <c r="C189" s="26"/>
      <c r="D189" s="26"/>
      <c r="E189" s="26"/>
    </row>
    <row r="190" spans="2:5" x14ac:dyDescent="0.3">
      <c r="B190" s="26"/>
      <c r="C190" s="26"/>
      <c r="D190" s="26"/>
      <c r="E190" s="26"/>
    </row>
    <row r="191" spans="2:5" x14ac:dyDescent="0.3">
      <c r="B191" s="26"/>
      <c r="C191" s="26"/>
      <c r="D191" s="26"/>
      <c r="E191" s="26"/>
    </row>
    <row r="192" spans="2:5" x14ac:dyDescent="0.3">
      <c r="B192" s="26"/>
      <c r="C192" s="26"/>
      <c r="D192" s="26"/>
      <c r="E192" s="26"/>
    </row>
    <row r="193" spans="2:5" x14ac:dyDescent="0.3">
      <c r="B193" s="26"/>
      <c r="C193" s="26"/>
      <c r="D193" s="26"/>
      <c r="E193" s="26"/>
    </row>
    <row r="194" spans="2:5" x14ac:dyDescent="0.3">
      <c r="B194" s="26"/>
      <c r="C194" s="26"/>
      <c r="D194" s="26"/>
      <c r="E194" s="26"/>
    </row>
    <row r="195" spans="2:5" x14ac:dyDescent="0.3">
      <c r="B195" s="26"/>
      <c r="C195" s="26"/>
      <c r="D195" s="26"/>
      <c r="E195" s="26"/>
    </row>
    <row r="196" spans="2:5" x14ac:dyDescent="0.3">
      <c r="B196" s="26"/>
      <c r="C196" s="26"/>
      <c r="D196" s="26"/>
      <c r="E196" s="26"/>
    </row>
    <row r="197" spans="2:5" x14ac:dyDescent="0.3">
      <c r="B197" s="26"/>
      <c r="C197" s="26"/>
      <c r="D197" s="26"/>
      <c r="E197" s="26"/>
    </row>
    <row r="198" spans="2:5" x14ac:dyDescent="0.3">
      <c r="B198" s="26"/>
      <c r="C198" s="26"/>
      <c r="D198" s="26"/>
      <c r="E198" s="26"/>
    </row>
    <row r="199" spans="2:5" x14ac:dyDescent="0.3">
      <c r="B199" s="26"/>
      <c r="C199" s="26"/>
      <c r="D199" s="26"/>
      <c r="E199" s="26"/>
    </row>
    <row r="200" spans="2:5" x14ac:dyDescent="0.3">
      <c r="B200" s="26"/>
      <c r="C200" s="26"/>
      <c r="D200" s="26"/>
      <c r="E200" s="26"/>
    </row>
    <row r="201" spans="2:5" x14ac:dyDescent="0.3">
      <c r="B201" s="26"/>
      <c r="C201" s="26"/>
      <c r="D201" s="26"/>
      <c r="E201" s="26"/>
    </row>
    <row r="202" spans="2:5" x14ac:dyDescent="0.3">
      <c r="B202" s="26"/>
      <c r="C202" s="26"/>
      <c r="D202" s="26"/>
      <c r="E202" s="26"/>
    </row>
    <row r="203" spans="2:5" x14ac:dyDescent="0.3">
      <c r="B203" s="26"/>
      <c r="C203" s="26"/>
      <c r="D203" s="26"/>
      <c r="E203" s="26"/>
    </row>
    <row r="204" spans="2:5" x14ac:dyDescent="0.3">
      <c r="B204" s="26"/>
      <c r="C204" s="26"/>
      <c r="D204" s="26"/>
      <c r="E204" s="26"/>
    </row>
    <row r="205" spans="2:5" x14ac:dyDescent="0.3">
      <c r="B205" s="26"/>
      <c r="C205" s="26"/>
      <c r="D205" s="26"/>
      <c r="E205" s="26"/>
    </row>
    <row r="206" spans="2:5" x14ac:dyDescent="0.3">
      <c r="B206" s="26"/>
      <c r="C206" s="26"/>
      <c r="D206" s="26"/>
      <c r="E206" s="26"/>
    </row>
    <row r="207" spans="2:5" x14ac:dyDescent="0.3">
      <c r="B207" s="26"/>
      <c r="C207" s="26"/>
      <c r="D207" s="26"/>
      <c r="E207" s="26"/>
    </row>
    <row r="208" spans="2:5" x14ac:dyDescent="0.3">
      <c r="B208" s="26"/>
      <c r="C208" s="26"/>
      <c r="D208" s="26"/>
      <c r="E208" s="26"/>
    </row>
    <row r="209" spans="2:5" x14ac:dyDescent="0.3">
      <c r="B209" s="26"/>
      <c r="C209" s="26"/>
      <c r="D209" s="26"/>
      <c r="E209" s="26"/>
    </row>
    <row r="210" spans="2:5" x14ac:dyDescent="0.3">
      <c r="B210" s="26"/>
      <c r="C210" s="26"/>
      <c r="D210" s="26"/>
      <c r="E210" s="26"/>
    </row>
    <row r="211" spans="2:5" x14ac:dyDescent="0.3">
      <c r="B211" s="26"/>
      <c r="C211" s="26"/>
      <c r="D211" s="26"/>
      <c r="E211" s="26"/>
    </row>
    <row r="212" spans="2:5" x14ac:dyDescent="0.3">
      <c r="B212" s="26"/>
      <c r="C212" s="26"/>
      <c r="D212" s="26"/>
      <c r="E212" s="26"/>
    </row>
    <row r="213" spans="2:5" x14ac:dyDescent="0.3">
      <c r="B213" s="26"/>
      <c r="C213" s="26"/>
      <c r="D213" s="26"/>
      <c r="E213" s="26"/>
    </row>
    <row r="214" spans="2:5" x14ac:dyDescent="0.3">
      <c r="B214" s="26"/>
      <c r="C214" s="26"/>
      <c r="D214" s="26"/>
      <c r="E214" s="26"/>
    </row>
    <row r="215" spans="2:5" x14ac:dyDescent="0.3">
      <c r="B215" s="26"/>
      <c r="C215" s="26"/>
      <c r="D215" s="26"/>
      <c r="E215" s="26"/>
    </row>
    <row r="216" spans="2:5" x14ac:dyDescent="0.3">
      <c r="B216" s="26"/>
      <c r="C216" s="26"/>
      <c r="D216" s="26"/>
      <c r="E216" s="26"/>
    </row>
    <row r="217" spans="2:5" x14ac:dyDescent="0.3">
      <c r="B217" s="26"/>
      <c r="C217" s="26"/>
      <c r="D217" s="26"/>
      <c r="E217" s="26"/>
    </row>
    <row r="218" spans="2:5" x14ac:dyDescent="0.3">
      <c r="B218" s="26"/>
      <c r="C218" s="26"/>
      <c r="D218" s="26"/>
      <c r="E218" s="26"/>
    </row>
    <row r="219" spans="2:5" x14ac:dyDescent="0.3">
      <c r="B219" s="26"/>
      <c r="C219" s="26"/>
      <c r="D219" s="26"/>
      <c r="E219" s="26"/>
    </row>
    <row r="220" spans="2:5" x14ac:dyDescent="0.3">
      <c r="B220" s="26"/>
      <c r="C220" s="26"/>
      <c r="D220" s="26"/>
      <c r="E220" s="26"/>
    </row>
    <row r="221" spans="2:5" x14ac:dyDescent="0.3">
      <c r="B221" s="26"/>
      <c r="C221" s="26"/>
      <c r="D221" s="26"/>
      <c r="E221" s="26"/>
    </row>
    <row r="222" spans="2:5" x14ac:dyDescent="0.3">
      <c r="B222" s="26"/>
      <c r="C222" s="26"/>
      <c r="D222" s="26"/>
      <c r="E222" s="26"/>
    </row>
    <row r="223" spans="2:5" x14ac:dyDescent="0.3">
      <c r="B223" s="26"/>
      <c r="C223" s="26"/>
      <c r="D223" s="26"/>
      <c r="E223" s="26"/>
    </row>
    <row r="224" spans="2:5" x14ac:dyDescent="0.3">
      <c r="B224" s="26"/>
      <c r="C224" s="26"/>
      <c r="D224" s="26"/>
      <c r="E224" s="26"/>
    </row>
    <row r="225" spans="2:5" x14ac:dyDescent="0.3">
      <c r="B225" s="26"/>
      <c r="C225" s="26"/>
      <c r="D225" s="26"/>
      <c r="E225" s="26"/>
    </row>
    <row r="226" spans="2:5" x14ac:dyDescent="0.3">
      <c r="B226" s="26"/>
      <c r="C226" s="26"/>
      <c r="D226" s="26"/>
      <c r="E226" s="26"/>
    </row>
    <row r="227" spans="2:5" x14ac:dyDescent="0.3">
      <c r="B227" s="26"/>
      <c r="C227" s="26"/>
      <c r="D227" s="26"/>
      <c r="E227" s="26"/>
    </row>
    <row r="228" spans="2:5" x14ac:dyDescent="0.3">
      <c r="B228" s="26"/>
      <c r="C228" s="26"/>
      <c r="D228" s="26"/>
      <c r="E228" s="26"/>
    </row>
    <row r="229" spans="2:5" x14ac:dyDescent="0.3">
      <c r="B229" s="26"/>
      <c r="C229" s="26"/>
      <c r="D229" s="26"/>
      <c r="E229" s="26"/>
    </row>
    <row r="230" spans="2:5" x14ac:dyDescent="0.3">
      <c r="B230" s="26"/>
      <c r="C230" s="26"/>
      <c r="D230" s="26"/>
      <c r="E230" s="26"/>
    </row>
    <row r="231" spans="2:5" x14ac:dyDescent="0.3">
      <c r="B231" s="26"/>
      <c r="C231" s="26"/>
      <c r="D231" s="26"/>
      <c r="E231" s="26"/>
    </row>
    <row r="232" spans="2:5" x14ac:dyDescent="0.3">
      <c r="B232" s="26"/>
      <c r="C232" s="26"/>
      <c r="D232" s="26"/>
      <c r="E232" s="26"/>
    </row>
    <row r="233" spans="2:5" x14ac:dyDescent="0.3">
      <c r="B233" s="26"/>
      <c r="C233" s="26"/>
      <c r="D233" s="26"/>
      <c r="E233" s="26"/>
    </row>
    <row r="234" spans="2:5" x14ac:dyDescent="0.3">
      <c r="B234" s="26"/>
      <c r="C234" s="26"/>
      <c r="D234" s="26"/>
      <c r="E234" s="26"/>
    </row>
    <row r="235" spans="2:5" x14ac:dyDescent="0.3">
      <c r="B235" s="26"/>
      <c r="C235" s="26"/>
      <c r="D235" s="26"/>
      <c r="E235" s="26"/>
    </row>
    <row r="236" spans="2:5" x14ac:dyDescent="0.3">
      <c r="B236" s="26"/>
      <c r="C236" s="26"/>
      <c r="D236" s="26"/>
      <c r="E236" s="26"/>
    </row>
    <row r="237" spans="2:5" x14ac:dyDescent="0.3">
      <c r="B237" s="26"/>
      <c r="C237" s="26"/>
      <c r="D237" s="26"/>
      <c r="E237" s="26"/>
    </row>
    <row r="238" spans="2:5" x14ac:dyDescent="0.3">
      <c r="B238" s="26"/>
      <c r="C238" s="26"/>
      <c r="D238" s="26"/>
      <c r="E238" s="26"/>
    </row>
    <row r="239" spans="2:5" x14ac:dyDescent="0.3">
      <c r="B239" s="26"/>
      <c r="C239" s="26"/>
      <c r="D239" s="26"/>
      <c r="E239" s="26"/>
    </row>
    <row r="240" spans="2:5" x14ac:dyDescent="0.3">
      <c r="B240" s="26"/>
      <c r="C240" s="26"/>
      <c r="D240" s="26"/>
      <c r="E240" s="26"/>
    </row>
    <row r="241" spans="2:5" x14ac:dyDescent="0.3">
      <c r="B241" s="26"/>
      <c r="C241" s="26"/>
      <c r="D241" s="26"/>
      <c r="E241" s="26"/>
    </row>
    <row r="242" spans="2:5" x14ac:dyDescent="0.3">
      <c r="B242" s="26"/>
      <c r="C242" s="26"/>
      <c r="D242" s="26"/>
      <c r="E242" s="26"/>
    </row>
    <row r="243" spans="2:5" x14ac:dyDescent="0.3">
      <c r="B243" s="26"/>
      <c r="C243" s="26"/>
      <c r="D243" s="26"/>
      <c r="E243" s="26"/>
    </row>
    <row r="244" spans="2:5" x14ac:dyDescent="0.3">
      <c r="B244" s="26"/>
      <c r="C244" s="26"/>
      <c r="D244" s="26"/>
      <c r="E244" s="26"/>
    </row>
    <row r="245" spans="2:5" x14ac:dyDescent="0.3">
      <c r="B245" s="26"/>
      <c r="C245" s="26"/>
      <c r="D245" s="26"/>
      <c r="E245" s="26"/>
    </row>
    <row r="246" spans="2:5" x14ac:dyDescent="0.3">
      <c r="B246" s="26"/>
      <c r="C246" s="26"/>
      <c r="D246" s="26"/>
      <c r="E246" s="26"/>
    </row>
    <row r="247" spans="2:5" x14ac:dyDescent="0.3">
      <c r="B247" s="26"/>
      <c r="C247" s="26"/>
      <c r="D247" s="26"/>
      <c r="E247" s="26"/>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E20"/>
  <sheetViews>
    <sheetView workbookViewId="0">
      <selection activeCell="A18" sqref="A18"/>
    </sheetView>
  </sheetViews>
  <sheetFormatPr defaultColWidth="9.1796875" defaultRowHeight="13" x14ac:dyDescent="0.3"/>
  <cols>
    <col min="1" max="1" width="52.7265625" style="22" bestFit="1" customWidth="1"/>
    <col min="2" max="4" width="10.1796875" style="22" bestFit="1" customWidth="1"/>
    <col min="5" max="5" width="9.1796875" style="22" customWidth="1"/>
    <col min="6" max="16384" width="9.1796875" style="22"/>
  </cols>
  <sheetData>
    <row r="2" spans="1:5" ht="18.5" x14ac:dyDescent="0.3">
      <c r="A2" s="1" t="str">
        <f>DEBT_AS_OF_CURR_YEAR</f>
        <v>Державний та гарантований державою борг України за поточний рік</v>
      </c>
      <c r="B2" s="1"/>
      <c r="C2" s="1"/>
      <c r="D2" s="1"/>
    </row>
    <row r="4" spans="1:5" x14ac:dyDescent="0.3">
      <c r="D4" s="148" t="str">
        <f>VALUAH</f>
        <v>млрд. грн</v>
      </c>
    </row>
    <row r="5" spans="1:5" x14ac:dyDescent="0.3">
      <c r="A5" s="45"/>
      <c r="B5" s="46">
        <f>MT_ALL!B5</f>
        <v>45657</v>
      </c>
      <c r="C5" s="46">
        <f>MT_ALL!C5</f>
        <v>45688</v>
      </c>
      <c r="D5" s="46">
        <f>MT_ALL!D5</f>
        <v>45716</v>
      </c>
      <c r="E5" s="47"/>
    </row>
    <row r="6" spans="1:5" x14ac:dyDescent="0.3">
      <c r="A6" s="51" t="str">
        <f>MT_ALL!A6</f>
        <v>Загальна сума державного та гарантованого державою боргу</v>
      </c>
      <c r="B6" s="52">
        <f>SUM(B7:B8)</f>
        <v>6980.96486574559</v>
      </c>
      <c r="C6" s="52">
        <f>SUM(C7:C8)</f>
        <v>7068.0134176093798</v>
      </c>
      <c r="D6" s="52">
        <f>SUM(D7:D8)</f>
        <v>7019.5348415889603</v>
      </c>
    </row>
    <row r="7" spans="1:5" x14ac:dyDescent="0.3">
      <c r="A7" s="48" t="str">
        <f>MT_ALL!A7</f>
        <v>Внутрішній борг</v>
      </c>
      <c r="B7" s="49">
        <f>MT_ALL!B7/DMLMLR</f>
        <v>1932.48958136344</v>
      </c>
      <c r="C7" s="49">
        <f>MT_ALL!C7/DMLMLR</f>
        <v>1926.6620924290401</v>
      </c>
      <c r="D7" s="49">
        <f>MT_ALL!D7/DMLMLR</f>
        <v>1912.8025159085</v>
      </c>
    </row>
    <row r="8" spans="1:5" x14ac:dyDescent="0.3">
      <c r="A8" s="48" t="str">
        <f>MT_ALL!A8</f>
        <v>Зовнішній борг</v>
      </c>
      <c r="B8" s="49">
        <f>MT_ALL!B8/DMLMLR</f>
        <v>5048.4752843821498</v>
      </c>
      <c r="C8" s="49">
        <f>MT_ALL!C8/DMLMLR</f>
        <v>5141.3513251803397</v>
      </c>
      <c r="D8" s="49">
        <f>MT_ALL!D8/DMLMLR</f>
        <v>5106.7323256804602</v>
      </c>
    </row>
    <row r="10" spans="1:5" x14ac:dyDescent="0.3">
      <c r="D10" s="148" t="str">
        <f>VALUSD</f>
        <v>млрд. дол. США</v>
      </c>
    </row>
    <row r="11" spans="1:5" x14ac:dyDescent="0.3">
      <c r="A11" s="45"/>
      <c r="B11" s="46">
        <f>MT_ALL!B11</f>
        <v>45657</v>
      </c>
      <c r="C11" s="46">
        <f>MT_ALL!C11</f>
        <v>45688</v>
      </c>
      <c r="D11" s="46">
        <f>MT_ALL!D11</f>
        <v>45716</v>
      </c>
    </row>
    <row r="12" spans="1:5" x14ac:dyDescent="0.3">
      <c r="A12" s="51" t="str">
        <f>MT_ALL!A12</f>
        <v>Загальна сума державного та гарантованого державою боргу</v>
      </c>
      <c r="B12" s="52">
        <f>SUM(B13:B14)</f>
        <v>166.05925130833998</v>
      </c>
      <c r="C12" s="52">
        <f>SUM(C13:C14)</f>
        <v>168.99339180672001</v>
      </c>
      <c r="D12" s="52">
        <f>SUM(D13:D14)</f>
        <v>169.08837600780001</v>
      </c>
    </row>
    <row r="13" spans="1:5" x14ac:dyDescent="0.3">
      <c r="A13" s="48" t="str">
        <f>MT_ALL!A13</f>
        <v>Внутрішній борг</v>
      </c>
      <c r="B13" s="49">
        <f>MT_ALL!B13/DMLMLR</f>
        <v>45.968971226080001</v>
      </c>
      <c r="C13" s="49">
        <f>MT_ALL!C13/DMLMLR</f>
        <v>46.065724925349997</v>
      </c>
      <c r="D13" s="49">
        <f>MT_ALL!D13/DMLMLR</f>
        <v>46.076083150560002</v>
      </c>
    </row>
    <row r="14" spans="1:5" x14ac:dyDescent="0.3">
      <c r="A14" s="48" t="str">
        <f>MT_ALL!A14</f>
        <v>Зовнішній борг</v>
      </c>
      <c r="B14" s="49">
        <f>MT_ALL!B14/DMLMLR</f>
        <v>120.09028008225999</v>
      </c>
      <c r="C14" s="49">
        <f>MT_ALL!C14/DMLMLR</f>
        <v>122.92766688137</v>
      </c>
      <c r="D14" s="49">
        <f>MT_ALL!D14/DMLMLR</f>
        <v>123.01229285724</v>
      </c>
    </row>
    <row r="16" spans="1:5" x14ac:dyDescent="0.3">
      <c r="D16" s="37" t="s">
        <v>175</v>
      </c>
    </row>
    <row r="17" spans="1:4" x14ac:dyDescent="0.3">
      <c r="A17" s="45"/>
      <c r="B17" s="46">
        <f>MT_ALL!B17</f>
        <v>45657</v>
      </c>
      <c r="C17" s="46">
        <f>MT_ALL!C17</f>
        <v>45688</v>
      </c>
      <c r="D17" s="46">
        <f>MT_ALL!D17</f>
        <v>45716</v>
      </c>
    </row>
    <row r="18" spans="1:4" x14ac:dyDescent="0.3">
      <c r="A18" s="51" t="str">
        <f>MT_ALL!A18</f>
        <v>Загальна сума державного та гарантованого державою боргу</v>
      </c>
      <c r="B18" s="52">
        <f>SUM(B19:B20)</f>
        <v>1</v>
      </c>
      <c r="C18" s="52">
        <f>SUM(C19:C20)</f>
        <v>1</v>
      </c>
      <c r="D18" s="52">
        <f>SUM(D19:D20)</f>
        <v>1</v>
      </c>
    </row>
    <row r="19" spans="1:4" x14ac:dyDescent="0.3">
      <c r="A19" s="48" t="str">
        <f>MT_ALL!A19</f>
        <v>Внутрішній борг</v>
      </c>
      <c r="B19" s="50">
        <f>MT_ALL!B19</f>
        <v>0.27682299999999999</v>
      </c>
      <c r="C19" s="50">
        <f>MT_ALL!C19</f>
        <v>0.27258900000000003</v>
      </c>
      <c r="D19" s="50">
        <f>MT_ALL!D19</f>
        <v>0.27249699999999999</v>
      </c>
    </row>
    <row r="20" spans="1:4" x14ac:dyDescent="0.3">
      <c r="A20" s="48" t="str">
        <f>MT_ALL!A20</f>
        <v>Зовнішній борг</v>
      </c>
      <c r="B20" s="50">
        <f>MT_ALL!B20</f>
        <v>0.72317699999999996</v>
      </c>
      <c r="C20" s="50">
        <f>MT_ALL!C20</f>
        <v>0.72741100000000003</v>
      </c>
      <c r="D20" s="50">
        <f>MT_ALL!D20</f>
        <v>0.72750300000000001</v>
      </c>
    </row>
  </sheetData>
  <mergeCells count="1">
    <mergeCell ref="A2:D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K247"/>
  <sheetViews>
    <sheetView workbookViewId="0">
      <selection activeCell="A13" sqref="A13"/>
    </sheetView>
  </sheetViews>
  <sheetFormatPr defaultColWidth="9.1796875" defaultRowHeight="13" outlineLevelRow="1" x14ac:dyDescent="0.3"/>
  <cols>
    <col min="1" max="1" width="63.26953125" style="22" bestFit="1" customWidth="1"/>
    <col min="2" max="2" width="14.7265625" style="22" customWidth="1"/>
    <col min="3" max="3" width="14.453125" style="22" bestFit="1" customWidth="1"/>
    <col min="4" max="4" width="13" style="22" customWidth="1"/>
    <col min="5" max="5" width="9.1796875" style="22" customWidth="1"/>
    <col min="6" max="16384" width="9.1796875" style="22"/>
  </cols>
  <sheetData>
    <row r="2" spans="1:11" ht="18.5" x14ac:dyDescent="0.3">
      <c r="A2" s="1" t="str">
        <f>DEBT_AS_OF_CURR_YEAR</f>
        <v>Державний та гарантований державою борг України за поточний рік</v>
      </c>
      <c r="B2" s="1"/>
      <c r="C2" s="1"/>
      <c r="D2" s="1"/>
      <c r="E2" s="26"/>
      <c r="F2" s="26"/>
      <c r="G2" s="26"/>
      <c r="H2" s="26"/>
      <c r="I2" s="26"/>
      <c r="J2" s="26"/>
      <c r="K2" s="26"/>
    </row>
    <row r="3" spans="1:11" x14ac:dyDescent="0.3">
      <c r="A3" s="24"/>
    </row>
    <row r="4" spans="1:11" s="27" customFormat="1" x14ac:dyDescent="0.3">
      <c r="A4" s="140" t="str">
        <f>$A$2 &amp; " (" &amp;D4 &amp; ")"</f>
        <v>Державний та гарантований державою борг України за поточний рік (млрд. грн)</v>
      </c>
      <c r="D4" s="27" t="str">
        <f>VALUAH</f>
        <v>млрд. грн</v>
      </c>
    </row>
    <row r="5" spans="1:11" s="14" customFormat="1" x14ac:dyDescent="0.3">
      <c r="A5" s="54"/>
      <c r="B5" s="13">
        <v>45657</v>
      </c>
      <c r="C5" s="13">
        <v>45688</v>
      </c>
      <c r="D5" s="33">
        <v>45716</v>
      </c>
    </row>
    <row r="6" spans="1:11" s="15" customFormat="1" x14ac:dyDescent="0.25">
      <c r="A6" s="150" t="str">
        <f>DEBT_TOTAL</f>
        <v>Загальна сума державного та гарантованого державою боргу</v>
      </c>
      <c r="B6" s="44">
        <f>SUM(B7:B8)</f>
        <v>6980.96486574559</v>
      </c>
      <c r="C6" s="44">
        <f>SUM(C7:C8)</f>
        <v>7068.0134176093798</v>
      </c>
      <c r="D6" s="44">
        <f>SUM(D7:D8)</f>
        <v>7019.5348415889603</v>
      </c>
    </row>
    <row r="7" spans="1:11" s="38" customFormat="1" outlineLevel="1" x14ac:dyDescent="0.25">
      <c r="A7" s="160" t="s">
        <v>1</v>
      </c>
      <c r="B7" s="166">
        <v>6692.4537564279799</v>
      </c>
      <c r="C7" s="166">
        <v>6778.89768375925</v>
      </c>
      <c r="D7" s="167">
        <v>6740.16284326606</v>
      </c>
    </row>
    <row r="8" spans="1:11" s="38" customFormat="1" outlineLevel="1" x14ac:dyDescent="0.25">
      <c r="A8" s="160" t="s">
        <v>2</v>
      </c>
      <c r="B8" s="166">
        <v>288.51110931761002</v>
      </c>
      <c r="C8" s="166">
        <v>289.11573385013003</v>
      </c>
      <c r="D8" s="167">
        <v>279.37199832290003</v>
      </c>
    </row>
    <row r="9" spans="1:11" x14ac:dyDescent="0.3">
      <c r="B9" s="26"/>
      <c r="C9" s="26"/>
      <c r="D9" s="26"/>
      <c r="E9" s="26"/>
      <c r="F9" s="26"/>
      <c r="G9" s="26"/>
      <c r="H9" s="26"/>
      <c r="I9" s="26"/>
    </row>
    <row r="10" spans="1:11" x14ac:dyDescent="0.3">
      <c r="A10" s="140" t="str">
        <f>$A$2 &amp; " (" &amp;D10 &amp; ")"</f>
        <v>Державний та гарантований державою борг України за поточний рік (млрд. дол. США)</v>
      </c>
      <c r="B10" s="26"/>
      <c r="C10" s="26"/>
      <c r="D10" s="27" t="str">
        <f>VALUSD</f>
        <v>млрд. дол. США</v>
      </c>
      <c r="E10" s="26"/>
      <c r="F10" s="26"/>
      <c r="G10" s="26"/>
      <c r="H10" s="26"/>
      <c r="I10" s="26"/>
    </row>
    <row r="11" spans="1:11" s="34" customFormat="1" x14ac:dyDescent="0.3">
      <c r="A11" s="55"/>
      <c r="B11" s="13">
        <v>45657</v>
      </c>
      <c r="C11" s="13">
        <v>45688</v>
      </c>
      <c r="D11" s="33">
        <v>45716</v>
      </c>
      <c r="E11" s="14"/>
      <c r="F11" s="14"/>
      <c r="G11" s="14"/>
      <c r="H11" s="14"/>
      <c r="I11" s="14"/>
      <c r="J11" s="14"/>
      <c r="K11" s="14"/>
    </row>
    <row r="12" spans="1:11" s="36" customFormat="1" x14ac:dyDescent="0.3">
      <c r="A12" s="150" t="str">
        <f>DEBT_TOTAL</f>
        <v>Загальна сума державного та гарантованого державою боргу</v>
      </c>
      <c r="B12" s="44">
        <f>SUM(B13:B14)</f>
        <v>166.05925130833998</v>
      </c>
      <c r="C12" s="44">
        <f>SUM(C13:C14)</f>
        <v>168.99339180672001</v>
      </c>
      <c r="D12" s="44">
        <f>SUM(D13:D14)</f>
        <v>169.08837600779998</v>
      </c>
      <c r="E12" s="35"/>
      <c r="F12" s="35"/>
      <c r="G12" s="35"/>
      <c r="H12" s="35"/>
      <c r="I12" s="35"/>
    </row>
    <row r="13" spans="1:11" s="40" customFormat="1" outlineLevel="1" x14ac:dyDescent="0.3">
      <c r="A13" s="163" t="s">
        <v>1</v>
      </c>
      <c r="B13" s="166">
        <v>159.19631191120999</v>
      </c>
      <c r="C13" s="166">
        <v>162.08074951225001</v>
      </c>
      <c r="D13" s="162">
        <v>162.35879084801999</v>
      </c>
      <c r="E13" s="39"/>
      <c r="F13" s="39"/>
      <c r="G13" s="39"/>
      <c r="H13" s="39"/>
      <c r="I13" s="39"/>
    </row>
    <row r="14" spans="1:11" s="40" customFormat="1" outlineLevel="1" x14ac:dyDescent="0.3">
      <c r="A14" s="163" t="s">
        <v>2</v>
      </c>
      <c r="B14" s="166">
        <v>6.8629393971299999</v>
      </c>
      <c r="C14" s="166">
        <v>6.9126422944700003</v>
      </c>
      <c r="D14" s="162">
        <v>6.72958515978</v>
      </c>
      <c r="E14" s="39"/>
      <c r="F14" s="39"/>
      <c r="G14" s="39"/>
      <c r="H14" s="39"/>
      <c r="I14" s="39"/>
    </row>
    <row r="15" spans="1:11" x14ac:dyDescent="0.3">
      <c r="B15" s="26"/>
      <c r="C15" s="26"/>
      <c r="D15" s="26"/>
      <c r="E15" s="26"/>
      <c r="F15" s="26"/>
      <c r="G15" s="26"/>
      <c r="H15" s="26"/>
      <c r="I15" s="26"/>
    </row>
    <row r="16" spans="1:11" s="27" customFormat="1" x14ac:dyDescent="0.3">
      <c r="A16" s="41"/>
      <c r="B16" s="42"/>
      <c r="C16" s="42"/>
      <c r="D16" s="37" t="s">
        <v>175</v>
      </c>
    </row>
    <row r="17" spans="1:11" s="34" customFormat="1" x14ac:dyDescent="0.3">
      <c r="A17" s="56"/>
      <c r="B17" s="13">
        <v>45657</v>
      </c>
      <c r="C17" s="13">
        <v>45688</v>
      </c>
      <c r="D17" s="13">
        <v>45716</v>
      </c>
      <c r="E17" s="14"/>
      <c r="F17" s="14"/>
      <c r="G17" s="14"/>
      <c r="H17" s="14"/>
      <c r="I17" s="14"/>
      <c r="J17" s="14"/>
      <c r="K17" s="14"/>
    </row>
    <row r="18" spans="1:11" s="36" customFormat="1" x14ac:dyDescent="0.3">
      <c r="A18" s="150" t="str">
        <f>DEBT_TOTAL</f>
        <v>Загальна сума державного та гарантованого державою боргу</v>
      </c>
      <c r="B18" s="44">
        <f>SUM(B19:B20)</f>
        <v>1</v>
      </c>
      <c r="C18" s="44">
        <f>SUM(C19:C20)</f>
        <v>1</v>
      </c>
      <c r="D18" s="44">
        <f>SUM(D19:D20)</f>
        <v>1</v>
      </c>
      <c r="E18" s="35"/>
      <c r="F18" s="35"/>
      <c r="G18" s="35"/>
      <c r="H18" s="35"/>
      <c r="I18" s="35"/>
    </row>
    <row r="19" spans="1:11" s="40" customFormat="1" outlineLevel="1" x14ac:dyDescent="0.3">
      <c r="A19" s="163" t="s">
        <v>1</v>
      </c>
      <c r="B19" s="164">
        <v>0.95867199999999997</v>
      </c>
      <c r="C19" s="164">
        <v>0.95909500000000003</v>
      </c>
      <c r="D19" s="165">
        <v>0.96020099999999997</v>
      </c>
      <c r="E19" s="39"/>
      <c r="F19" s="39"/>
      <c r="G19" s="39"/>
      <c r="H19" s="39"/>
      <c r="I19" s="39"/>
    </row>
    <row r="20" spans="1:11" s="40" customFormat="1" outlineLevel="1" x14ac:dyDescent="0.3">
      <c r="A20" s="163" t="s">
        <v>2</v>
      </c>
      <c r="B20" s="164">
        <v>4.1327999999999997E-2</v>
      </c>
      <c r="C20" s="164">
        <v>4.0904999999999997E-2</v>
      </c>
      <c r="D20" s="165">
        <v>3.9799000000000001E-2</v>
      </c>
      <c r="E20" s="39"/>
      <c r="F20" s="39"/>
      <c r="G20" s="39"/>
      <c r="H20" s="39"/>
      <c r="I20" s="39"/>
    </row>
    <row r="21" spans="1:11" x14ac:dyDescent="0.3">
      <c r="B21" s="26"/>
      <c r="C21" s="26"/>
      <c r="D21" s="26"/>
      <c r="E21" s="26"/>
      <c r="F21" s="26"/>
      <c r="G21" s="26"/>
      <c r="H21" s="26"/>
      <c r="I21" s="26"/>
    </row>
    <row r="22" spans="1:11" x14ac:dyDescent="0.3">
      <c r="B22" s="26"/>
      <c r="C22" s="26"/>
      <c r="D22" s="26"/>
      <c r="E22" s="26"/>
      <c r="F22" s="26"/>
      <c r="G22" s="26"/>
      <c r="H22" s="26"/>
      <c r="I22" s="26"/>
    </row>
    <row r="23" spans="1:11" x14ac:dyDescent="0.3">
      <c r="B23" s="26"/>
      <c r="C23" s="26"/>
      <c r="D23" s="26"/>
      <c r="E23" s="26"/>
      <c r="F23" s="26"/>
      <c r="G23" s="26"/>
      <c r="H23" s="26"/>
      <c r="I23" s="26"/>
    </row>
    <row r="24" spans="1:11" x14ac:dyDescent="0.3">
      <c r="B24" s="26"/>
      <c r="C24" s="26"/>
      <c r="D24" s="26"/>
      <c r="E24" s="26"/>
      <c r="F24" s="26"/>
      <c r="G24" s="26"/>
      <c r="H24" s="26"/>
      <c r="I24" s="26"/>
    </row>
    <row r="25" spans="1:11" s="41" customFormat="1" x14ac:dyDescent="0.3">
      <c r="B25" s="42"/>
      <c r="C25" s="42"/>
      <c r="D25" s="42"/>
      <c r="E25" s="42"/>
      <c r="F25" s="42"/>
      <c r="G25" s="42"/>
      <c r="H25" s="42"/>
      <c r="I25" s="42"/>
    </row>
    <row r="26" spans="1:11" x14ac:dyDescent="0.3">
      <c r="B26" s="26"/>
      <c r="C26" s="26"/>
      <c r="D26" s="26"/>
      <c r="E26" s="26"/>
      <c r="F26" s="26"/>
      <c r="G26" s="26"/>
      <c r="H26" s="26"/>
      <c r="I26" s="26"/>
    </row>
    <row r="27" spans="1:11" x14ac:dyDescent="0.3">
      <c r="B27" s="26"/>
      <c r="C27" s="26"/>
      <c r="D27" s="26"/>
      <c r="E27" s="26"/>
      <c r="F27" s="26"/>
      <c r="G27" s="26"/>
      <c r="H27" s="26"/>
      <c r="I27" s="26"/>
    </row>
    <row r="28" spans="1:11" x14ac:dyDescent="0.3">
      <c r="B28" s="26"/>
      <c r="C28" s="26"/>
      <c r="D28" s="26"/>
      <c r="E28" s="26"/>
      <c r="F28" s="26"/>
      <c r="G28" s="26"/>
      <c r="H28" s="26"/>
      <c r="I28" s="26"/>
    </row>
    <row r="29" spans="1:11" x14ac:dyDescent="0.3">
      <c r="B29" s="26"/>
      <c r="C29" s="26"/>
      <c r="D29" s="26"/>
      <c r="E29" s="26"/>
      <c r="F29" s="26"/>
      <c r="G29" s="26"/>
      <c r="H29" s="26"/>
      <c r="I29" s="26"/>
    </row>
    <row r="30" spans="1:11" x14ac:dyDescent="0.3">
      <c r="B30" s="26"/>
      <c r="C30" s="26"/>
      <c r="D30" s="26"/>
      <c r="E30" s="26"/>
      <c r="F30" s="26"/>
      <c r="G30" s="26"/>
      <c r="H30" s="26"/>
      <c r="I30" s="26"/>
    </row>
    <row r="31" spans="1:11" x14ac:dyDescent="0.3">
      <c r="B31" s="26"/>
      <c r="C31" s="26"/>
      <c r="D31" s="26"/>
      <c r="E31" s="26"/>
      <c r="F31" s="26"/>
      <c r="G31" s="26"/>
      <c r="H31" s="26"/>
      <c r="I31" s="26"/>
    </row>
    <row r="32" spans="1:11" x14ac:dyDescent="0.3">
      <c r="B32" s="26"/>
      <c r="C32" s="26"/>
      <c r="D32" s="26"/>
      <c r="E32" s="26"/>
      <c r="F32" s="26"/>
      <c r="G32" s="26"/>
      <c r="H32" s="26"/>
      <c r="I32" s="26"/>
    </row>
    <row r="33" spans="2:9" x14ac:dyDescent="0.3">
      <c r="B33" s="26"/>
      <c r="C33" s="26"/>
      <c r="D33" s="26"/>
      <c r="E33" s="26"/>
      <c r="F33" s="26"/>
      <c r="G33" s="26"/>
      <c r="H33" s="26"/>
      <c r="I33" s="26"/>
    </row>
    <row r="34" spans="2:9" x14ac:dyDescent="0.3">
      <c r="B34" s="26"/>
      <c r="C34" s="26"/>
      <c r="D34" s="26"/>
      <c r="E34" s="26"/>
      <c r="F34" s="26"/>
      <c r="G34" s="26"/>
      <c r="H34" s="26"/>
      <c r="I34" s="26"/>
    </row>
    <row r="35" spans="2:9" x14ac:dyDescent="0.3">
      <c r="B35" s="26"/>
      <c r="C35" s="26"/>
      <c r="D35" s="26"/>
      <c r="E35" s="26"/>
      <c r="F35" s="26"/>
      <c r="G35" s="26"/>
      <c r="H35" s="26"/>
      <c r="I35" s="26"/>
    </row>
    <row r="36" spans="2:9" x14ac:dyDescent="0.3">
      <c r="B36" s="26"/>
      <c r="C36" s="26"/>
      <c r="D36" s="26"/>
      <c r="E36" s="26"/>
      <c r="F36" s="26"/>
      <c r="G36" s="26"/>
      <c r="H36" s="26"/>
      <c r="I36" s="26"/>
    </row>
    <row r="37" spans="2:9" x14ac:dyDescent="0.3">
      <c r="B37" s="26"/>
      <c r="C37" s="26"/>
      <c r="D37" s="26"/>
      <c r="E37" s="26"/>
      <c r="F37" s="26"/>
      <c r="G37" s="26"/>
      <c r="H37" s="26"/>
      <c r="I37" s="26"/>
    </row>
    <row r="38" spans="2:9" x14ac:dyDescent="0.3">
      <c r="B38" s="26"/>
      <c r="C38" s="26"/>
      <c r="D38" s="26"/>
      <c r="E38" s="26"/>
      <c r="F38" s="26"/>
      <c r="G38" s="26"/>
      <c r="H38" s="26"/>
      <c r="I38" s="26"/>
    </row>
    <row r="39" spans="2:9" x14ac:dyDescent="0.3">
      <c r="B39" s="26"/>
      <c r="C39" s="26"/>
      <c r="D39" s="26"/>
      <c r="E39" s="26"/>
      <c r="F39" s="26"/>
      <c r="G39" s="26"/>
      <c r="H39" s="26"/>
      <c r="I39" s="26"/>
    </row>
    <row r="40" spans="2:9" x14ac:dyDescent="0.3">
      <c r="B40" s="26"/>
      <c r="C40" s="26"/>
      <c r="D40" s="26"/>
      <c r="E40" s="26"/>
      <c r="F40" s="26"/>
      <c r="G40" s="26"/>
      <c r="H40" s="26"/>
      <c r="I40" s="26"/>
    </row>
    <row r="41" spans="2:9" x14ac:dyDescent="0.3">
      <c r="B41" s="26"/>
      <c r="C41" s="26"/>
      <c r="D41" s="26"/>
      <c r="E41" s="26"/>
      <c r="F41" s="26"/>
      <c r="G41" s="26"/>
      <c r="H41" s="26"/>
      <c r="I41" s="26"/>
    </row>
    <row r="42" spans="2:9" x14ac:dyDescent="0.3">
      <c r="B42" s="26"/>
      <c r="C42" s="26"/>
      <c r="D42" s="26"/>
      <c r="E42" s="26"/>
      <c r="F42" s="26"/>
      <c r="G42" s="26"/>
      <c r="H42" s="26"/>
      <c r="I42" s="26"/>
    </row>
    <row r="43" spans="2:9" x14ac:dyDescent="0.3">
      <c r="B43" s="26"/>
      <c r="C43" s="26"/>
      <c r="D43" s="26"/>
      <c r="E43" s="26"/>
      <c r="F43" s="26"/>
      <c r="G43" s="26"/>
      <c r="H43" s="26"/>
      <c r="I43" s="26"/>
    </row>
    <row r="44" spans="2:9" x14ac:dyDescent="0.3">
      <c r="B44" s="26"/>
      <c r="C44" s="26"/>
      <c r="D44" s="26"/>
      <c r="E44" s="26"/>
      <c r="F44" s="26"/>
      <c r="G44" s="26"/>
      <c r="H44" s="26"/>
      <c r="I44" s="26"/>
    </row>
    <row r="45" spans="2:9" x14ac:dyDescent="0.3">
      <c r="B45" s="26"/>
      <c r="C45" s="26"/>
      <c r="D45" s="26"/>
      <c r="E45" s="26"/>
      <c r="F45" s="26"/>
      <c r="G45" s="26"/>
      <c r="H45" s="26"/>
      <c r="I45" s="26"/>
    </row>
    <row r="46" spans="2:9" x14ac:dyDescent="0.3">
      <c r="B46" s="26"/>
      <c r="C46" s="26"/>
      <c r="D46" s="26"/>
      <c r="E46" s="26"/>
      <c r="F46" s="26"/>
      <c r="G46" s="26"/>
      <c r="H46" s="26"/>
      <c r="I46" s="26"/>
    </row>
    <row r="47" spans="2:9" x14ac:dyDescent="0.3">
      <c r="B47" s="26"/>
      <c r="C47" s="26"/>
      <c r="D47" s="26"/>
      <c r="E47" s="26"/>
      <c r="F47" s="26"/>
      <c r="G47" s="26"/>
      <c r="H47" s="26"/>
      <c r="I47" s="26"/>
    </row>
    <row r="48" spans="2:9" x14ac:dyDescent="0.3">
      <c r="B48" s="26"/>
      <c r="C48" s="26"/>
      <c r="D48" s="26"/>
      <c r="E48" s="26"/>
      <c r="F48" s="26"/>
      <c r="G48" s="26"/>
      <c r="H48" s="26"/>
      <c r="I48" s="26"/>
    </row>
    <row r="49" spans="2:9" x14ac:dyDescent="0.3">
      <c r="B49" s="26"/>
      <c r="C49" s="26"/>
      <c r="D49" s="26"/>
      <c r="E49" s="26"/>
      <c r="F49" s="26"/>
      <c r="G49" s="26"/>
      <c r="H49" s="26"/>
      <c r="I49" s="26"/>
    </row>
    <row r="50" spans="2:9" x14ac:dyDescent="0.3">
      <c r="B50" s="26"/>
      <c r="C50" s="26"/>
      <c r="D50" s="26"/>
      <c r="E50" s="26"/>
      <c r="F50" s="26"/>
      <c r="G50" s="26"/>
      <c r="H50" s="26"/>
      <c r="I50" s="26"/>
    </row>
    <row r="51" spans="2:9" x14ac:dyDescent="0.3">
      <c r="B51" s="26"/>
      <c r="C51" s="26"/>
      <c r="D51" s="26"/>
      <c r="E51" s="26"/>
      <c r="F51" s="26"/>
      <c r="G51" s="26"/>
      <c r="H51" s="26"/>
      <c r="I51" s="26"/>
    </row>
    <row r="52" spans="2:9" x14ac:dyDescent="0.3">
      <c r="B52" s="26"/>
      <c r="C52" s="26"/>
      <c r="D52" s="26"/>
      <c r="E52" s="26"/>
      <c r="F52" s="26"/>
      <c r="G52" s="26"/>
      <c r="H52" s="26"/>
      <c r="I52" s="26"/>
    </row>
    <row r="53" spans="2:9" x14ac:dyDescent="0.3">
      <c r="B53" s="26"/>
      <c r="C53" s="26"/>
      <c r="D53" s="26"/>
      <c r="E53" s="26"/>
      <c r="F53" s="26"/>
      <c r="G53" s="26"/>
      <c r="H53" s="26"/>
      <c r="I53" s="26"/>
    </row>
    <row r="54" spans="2:9" x14ac:dyDescent="0.3">
      <c r="B54" s="26"/>
      <c r="C54" s="26"/>
      <c r="D54" s="26"/>
      <c r="E54" s="26"/>
      <c r="F54" s="26"/>
      <c r="G54" s="26"/>
      <c r="H54" s="26"/>
      <c r="I54" s="26"/>
    </row>
    <row r="55" spans="2:9" x14ac:dyDescent="0.3">
      <c r="B55" s="26"/>
      <c r="C55" s="26"/>
      <c r="D55" s="26"/>
      <c r="E55" s="26"/>
      <c r="F55" s="26"/>
      <c r="G55" s="26"/>
      <c r="H55" s="26"/>
      <c r="I55" s="26"/>
    </row>
    <row r="56" spans="2:9" x14ac:dyDescent="0.3">
      <c r="B56" s="26"/>
      <c r="C56" s="26"/>
      <c r="D56" s="26"/>
      <c r="E56" s="26"/>
      <c r="F56" s="26"/>
      <c r="G56" s="26"/>
      <c r="H56" s="26"/>
      <c r="I56" s="26"/>
    </row>
    <row r="57" spans="2:9" x14ac:dyDescent="0.3">
      <c r="B57" s="26"/>
      <c r="C57" s="26"/>
      <c r="D57" s="26"/>
      <c r="E57" s="26"/>
      <c r="F57" s="26"/>
      <c r="G57" s="26"/>
      <c r="H57" s="26"/>
      <c r="I57" s="26"/>
    </row>
    <row r="58" spans="2:9" x14ac:dyDescent="0.3">
      <c r="B58" s="26"/>
      <c r="C58" s="26"/>
      <c r="D58" s="26"/>
      <c r="E58" s="26"/>
      <c r="F58" s="26"/>
      <c r="G58" s="26"/>
      <c r="H58" s="26"/>
      <c r="I58" s="26"/>
    </row>
    <row r="59" spans="2:9" x14ac:dyDescent="0.3">
      <c r="B59" s="26"/>
      <c r="C59" s="26"/>
      <c r="D59" s="26"/>
      <c r="E59" s="26"/>
      <c r="F59" s="26"/>
      <c r="G59" s="26"/>
      <c r="H59" s="26"/>
      <c r="I59" s="26"/>
    </row>
    <row r="60" spans="2:9" x14ac:dyDescent="0.3">
      <c r="B60" s="26"/>
      <c r="C60" s="26"/>
      <c r="D60" s="26"/>
      <c r="E60" s="26"/>
      <c r="F60" s="26"/>
      <c r="G60" s="26"/>
      <c r="H60" s="26"/>
      <c r="I60" s="26"/>
    </row>
    <row r="61" spans="2:9" x14ac:dyDescent="0.3">
      <c r="B61" s="26"/>
      <c r="C61" s="26"/>
      <c r="D61" s="26"/>
      <c r="E61" s="26"/>
      <c r="F61" s="26"/>
      <c r="G61" s="26"/>
      <c r="H61" s="26"/>
      <c r="I61" s="26"/>
    </row>
    <row r="62" spans="2:9" x14ac:dyDescent="0.3">
      <c r="B62" s="26"/>
      <c r="C62" s="26"/>
      <c r="D62" s="26"/>
      <c r="E62" s="26"/>
      <c r="F62" s="26"/>
      <c r="G62" s="26"/>
      <c r="H62" s="26"/>
      <c r="I62" s="26"/>
    </row>
    <row r="63" spans="2:9" x14ac:dyDescent="0.3">
      <c r="B63" s="26"/>
      <c r="C63" s="26"/>
      <c r="D63" s="26"/>
      <c r="E63" s="26"/>
      <c r="F63" s="26"/>
      <c r="G63" s="26"/>
      <c r="H63" s="26"/>
      <c r="I63" s="26"/>
    </row>
    <row r="64" spans="2:9" x14ac:dyDescent="0.3">
      <c r="B64" s="26"/>
      <c r="C64" s="26"/>
      <c r="D64" s="26"/>
      <c r="E64" s="26"/>
      <c r="F64" s="26"/>
      <c r="G64" s="26"/>
      <c r="H64" s="26"/>
      <c r="I64" s="26"/>
    </row>
    <row r="65" spans="2:9" x14ac:dyDescent="0.3">
      <c r="B65" s="26"/>
      <c r="C65" s="26"/>
      <c r="D65" s="26"/>
      <c r="E65" s="26"/>
      <c r="F65" s="26"/>
      <c r="G65" s="26"/>
      <c r="H65" s="26"/>
      <c r="I65" s="26"/>
    </row>
    <row r="66" spans="2:9" x14ac:dyDescent="0.3">
      <c r="B66" s="26"/>
      <c r="C66" s="26"/>
      <c r="D66" s="26"/>
      <c r="E66" s="26"/>
      <c r="F66" s="26"/>
      <c r="G66" s="26"/>
      <c r="H66" s="26"/>
      <c r="I66" s="26"/>
    </row>
    <row r="67" spans="2:9" x14ac:dyDescent="0.3">
      <c r="B67" s="26"/>
      <c r="C67" s="26"/>
      <c r="D67" s="26"/>
      <c r="E67" s="26"/>
      <c r="F67" s="26"/>
      <c r="G67" s="26"/>
      <c r="H67" s="26"/>
      <c r="I67" s="26"/>
    </row>
    <row r="68" spans="2:9" x14ac:dyDescent="0.3">
      <c r="B68" s="26"/>
      <c r="C68" s="26"/>
      <c r="D68" s="26"/>
      <c r="E68" s="26"/>
      <c r="F68" s="26"/>
      <c r="G68" s="26"/>
      <c r="H68" s="26"/>
      <c r="I68" s="26"/>
    </row>
    <row r="69" spans="2:9" x14ac:dyDescent="0.3">
      <c r="B69" s="26"/>
      <c r="C69" s="26"/>
      <c r="D69" s="26"/>
      <c r="E69" s="26"/>
      <c r="F69" s="26"/>
      <c r="G69" s="26"/>
      <c r="H69" s="26"/>
      <c r="I69" s="26"/>
    </row>
    <row r="70" spans="2:9" x14ac:dyDescent="0.3">
      <c r="B70" s="26"/>
      <c r="C70" s="26"/>
      <c r="D70" s="26"/>
      <c r="E70" s="26"/>
      <c r="F70" s="26"/>
      <c r="G70" s="26"/>
      <c r="H70" s="26"/>
      <c r="I70" s="26"/>
    </row>
    <row r="71" spans="2:9" x14ac:dyDescent="0.3">
      <c r="B71" s="26"/>
      <c r="C71" s="26"/>
      <c r="D71" s="26"/>
      <c r="E71" s="26"/>
      <c r="F71" s="26"/>
      <c r="G71" s="26"/>
      <c r="H71" s="26"/>
      <c r="I71" s="26"/>
    </row>
    <row r="72" spans="2:9" x14ac:dyDescent="0.3">
      <c r="B72" s="26"/>
      <c r="C72" s="26"/>
      <c r="D72" s="26"/>
      <c r="E72" s="26"/>
      <c r="F72" s="26"/>
      <c r="G72" s="26"/>
      <c r="H72" s="26"/>
      <c r="I72" s="26"/>
    </row>
    <row r="73" spans="2:9" x14ac:dyDescent="0.3">
      <c r="B73" s="26"/>
      <c r="C73" s="26"/>
      <c r="D73" s="26"/>
      <c r="E73" s="26"/>
      <c r="F73" s="26"/>
      <c r="G73" s="26"/>
      <c r="H73" s="26"/>
      <c r="I73" s="26"/>
    </row>
    <row r="74" spans="2:9" x14ac:dyDescent="0.3">
      <c r="B74" s="26"/>
      <c r="C74" s="26"/>
      <c r="D74" s="26"/>
      <c r="E74" s="26"/>
      <c r="F74" s="26"/>
      <c r="G74" s="26"/>
      <c r="H74" s="26"/>
      <c r="I74" s="26"/>
    </row>
    <row r="75" spans="2:9" x14ac:dyDescent="0.3">
      <c r="B75" s="26"/>
      <c r="C75" s="26"/>
      <c r="D75" s="26"/>
      <c r="E75" s="26"/>
      <c r="F75" s="26"/>
      <c r="G75" s="26"/>
      <c r="H75" s="26"/>
      <c r="I75" s="26"/>
    </row>
    <row r="76" spans="2:9" x14ac:dyDescent="0.3">
      <c r="B76" s="26"/>
      <c r="C76" s="26"/>
      <c r="D76" s="26"/>
      <c r="E76" s="26"/>
      <c r="F76" s="26"/>
      <c r="G76" s="26"/>
      <c r="H76" s="26"/>
      <c r="I76" s="26"/>
    </row>
    <row r="77" spans="2:9" x14ac:dyDescent="0.3">
      <c r="B77" s="26"/>
      <c r="C77" s="26"/>
      <c r="D77" s="26"/>
      <c r="E77" s="26"/>
      <c r="F77" s="26"/>
      <c r="G77" s="26"/>
      <c r="H77" s="26"/>
      <c r="I77" s="26"/>
    </row>
    <row r="78" spans="2:9" x14ac:dyDescent="0.3">
      <c r="B78" s="26"/>
      <c r="C78" s="26"/>
      <c r="D78" s="26"/>
      <c r="E78" s="26"/>
      <c r="F78" s="26"/>
      <c r="G78" s="26"/>
      <c r="H78" s="26"/>
      <c r="I78" s="26"/>
    </row>
    <row r="79" spans="2:9" x14ac:dyDescent="0.3">
      <c r="B79" s="26"/>
      <c r="C79" s="26"/>
      <c r="D79" s="26"/>
      <c r="E79" s="26"/>
      <c r="F79" s="26"/>
      <c r="G79" s="26"/>
      <c r="H79" s="26"/>
      <c r="I79" s="26"/>
    </row>
    <row r="80" spans="2:9" x14ac:dyDescent="0.3">
      <c r="B80" s="26"/>
      <c r="C80" s="26"/>
      <c r="D80" s="26"/>
      <c r="E80" s="26"/>
      <c r="F80" s="26"/>
      <c r="G80" s="26"/>
      <c r="H80" s="26"/>
      <c r="I80" s="26"/>
    </row>
    <row r="81" spans="2:9" x14ac:dyDescent="0.3">
      <c r="B81" s="26"/>
      <c r="C81" s="26"/>
      <c r="D81" s="26"/>
      <c r="E81" s="26"/>
      <c r="F81" s="26"/>
      <c r="G81" s="26"/>
      <c r="H81" s="26"/>
      <c r="I81" s="26"/>
    </row>
    <row r="82" spans="2:9" x14ac:dyDescent="0.3">
      <c r="B82" s="26"/>
      <c r="C82" s="26"/>
      <c r="D82" s="26"/>
      <c r="E82" s="26"/>
      <c r="F82" s="26"/>
      <c r="G82" s="26"/>
      <c r="H82" s="26"/>
      <c r="I82" s="26"/>
    </row>
    <row r="83" spans="2:9" x14ac:dyDescent="0.3">
      <c r="B83" s="26"/>
      <c r="C83" s="26"/>
      <c r="D83" s="26"/>
      <c r="E83" s="26"/>
      <c r="F83" s="26"/>
      <c r="G83" s="26"/>
      <c r="H83" s="26"/>
      <c r="I83" s="26"/>
    </row>
    <row r="84" spans="2:9" x14ac:dyDescent="0.3">
      <c r="B84" s="26"/>
      <c r="C84" s="26"/>
      <c r="D84" s="26"/>
      <c r="E84" s="26"/>
      <c r="F84" s="26"/>
      <c r="G84" s="26"/>
      <c r="H84" s="26"/>
      <c r="I84" s="26"/>
    </row>
    <row r="85" spans="2:9" x14ac:dyDescent="0.3">
      <c r="B85" s="26"/>
      <c r="C85" s="26"/>
      <c r="D85" s="26"/>
      <c r="E85" s="26"/>
      <c r="F85" s="26"/>
      <c r="G85" s="26"/>
      <c r="H85" s="26"/>
      <c r="I85" s="26"/>
    </row>
    <row r="86" spans="2:9" x14ac:dyDescent="0.3">
      <c r="B86" s="26"/>
      <c r="C86" s="26"/>
      <c r="D86" s="26"/>
      <c r="E86" s="26"/>
      <c r="F86" s="26"/>
      <c r="G86" s="26"/>
      <c r="H86" s="26"/>
      <c r="I86" s="26"/>
    </row>
    <row r="87" spans="2:9" x14ac:dyDescent="0.3">
      <c r="B87" s="26"/>
      <c r="C87" s="26"/>
      <c r="D87" s="26"/>
      <c r="E87" s="26"/>
      <c r="F87" s="26"/>
      <c r="G87" s="26"/>
      <c r="H87" s="26"/>
      <c r="I87" s="26"/>
    </row>
    <row r="88" spans="2:9" x14ac:dyDescent="0.3">
      <c r="B88" s="26"/>
      <c r="C88" s="26"/>
      <c r="D88" s="26"/>
      <c r="E88" s="26"/>
      <c r="F88" s="26"/>
      <c r="G88" s="26"/>
      <c r="H88" s="26"/>
      <c r="I88" s="26"/>
    </row>
    <row r="89" spans="2:9" x14ac:dyDescent="0.3">
      <c r="B89" s="26"/>
      <c r="C89" s="26"/>
      <c r="D89" s="26"/>
      <c r="E89" s="26"/>
      <c r="F89" s="26"/>
      <c r="G89" s="26"/>
      <c r="H89" s="26"/>
      <c r="I89" s="26"/>
    </row>
    <row r="90" spans="2:9" x14ac:dyDescent="0.3">
      <c r="B90" s="26"/>
      <c r="C90" s="26"/>
      <c r="D90" s="26"/>
      <c r="E90" s="26"/>
      <c r="F90" s="26"/>
      <c r="G90" s="26"/>
      <c r="H90" s="26"/>
      <c r="I90" s="26"/>
    </row>
    <row r="91" spans="2:9" x14ac:dyDescent="0.3">
      <c r="B91" s="26"/>
      <c r="C91" s="26"/>
      <c r="D91" s="26"/>
      <c r="E91" s="26"/>
      <c r="F91" s="26"/>
      <c r="G91" s="26"/>
      <c r="H91" s="26"/>
      <c r="I91" s="26"/>
    </row>
    <row r="92" spans="2:9" x14ac:dyDescent="0.3">
      <c r="B92" s="26"/>
      <c r="C92" s="26"/>
      <c r="D92" s="26"/>
      <c r="E92" s="26"/>
      <c r="F92" s="26"/>
      <c r="G92" s="26"/>
      <c r="H92" s="26"/>
      <c r="I92" s="26"/>
    </row>
    <row r="93" spans="2:9" x14ac:dyDescent="0.3">
      <c r="B93" s="26"/>
      <c r="C93" s="26"/>
      <c r="D93" s="26"/>
      <c r="E93" s="26"/>
      <c r="F93" s="26"/>
      <c r="G93" s="26"/>
      <c r="H93" s="26"/>
      <c r="I93" s="26"/>
    </row>
    <row r="94" spans="2:9" x14ac:dyDescent="0.3">
      <c r="B94" s="26"/>
      <c r="C94" s="26"/>
      <c r="D94" s="26"/>
      <c r="E94" s="26"/>
      <c r="F94" s="26"/>
      <c r="G94" s="26"/>
      <c r="H94" s="26"/>
      <c r="I94" s="26"/>
    </row>
    <row r="95" spans="2:9" x14ac:dyDescent="0.3">
      <c r="B95" s="26"/>
      <c r="C95" s="26"/>
      <c r="D95" s="26"/>
      <c r="E95" s="26"/>
      <c r="F95" s="26"/>
      <c r="G95" s="26"/>
      <c r="H95" s="26"/>
      <c r="I95" s="26"/>
    </row>
    <row r="96" spans="2:9" x14ac:dyDescent="0.3">
      <c r="B96" s="26"/>
      <c r="C96" s="26"/>
      <c r="D96" s="26"/>
      <c r="E96" s="26"/>
      <c r="F96" s="26"/>
      <c r="G96" s="26"/>
      <c r="H96" s="26"/>
      <c r="I96" s="26"/>
    </row>
    <row r="97" spans="2:9" x14ac:dyDescent="0.3">
      <c r="B97" s="26"/>
      <c r="C97" s="26"/>
      <c r="D97" s="26"/>
      <c r="E97" s="26"/>
      <c r="F97" s="26"/>
      <c r="G97" s="26"/>
      <c r="H97" s="26"/>
      <c r="I97" s="26"/>
    </row>
    <row r="98" spans="2:9" x14ac:dyDescent="0.3">
      <c r="B98" s="26"/>
      <c r="C98" s="26"/>
      <c r="D98" s="26"/>
      <c r="E98" s="26"/>
      <c r="F98" s="26"/>
      <c r="G98" s="26"/>
      <c r="H98" s="26"/>
      <c r="I98" s="26"/>
    </row>
    <row r="99" spans="2:9" x14ac:dyDescent="0.3">
      <c r="B99" s="26"/>
      <c r="C99" s="26"/>
      <c r="D99" s="26"/>
      <c r="E99" s="26"/>
      <c r="F99" s="26"/>
      <c r="G99" s="26"/>
      <c r="H99" s="26"/>
      <c r="I99" s="26"/>
    </row>
    <row r="100" spans="2:9" x14ac:dyDescent="0.3">
      <c r="B100" s="26"/>
      <c r="C100" s="26"/>
      <c r="D100" s="26"/>
      <c r="E100" s="26"/>
      <c r="F100" s="26"/>
      <c r="G100" s="26"/>
      <c r="H100" s="26"/>
      <c r="I100" s="26"/>
    </row>
    <row r="101" spans="2:9" x14ac:dyDescent="0.3">
      <c r="B101" s="26"/>
      <c r="C101" s="26"/>
      <c r="D101" s="26"/>
      <c r="E101" s="26"/>
      <c r="F101" s="26"/>
      <c r="G101" s="26"/>
      <c r="H101" s="26"/>
      <c r="I101" s="26"/>
    </row>
    <row r="102" spans="2:9" x14ac:dyDescent="0.3">
      <c r="B102" s="26"/>
      <c r="C102" s="26"/>
      <c r="D102" s="26"/>
      <c r="E102" s="26"/>
      <c r="F102" s="26"/>
      <c r="G102" s="26"/>
      <c r="H102" s="26"/>
      <c r="I102" s="26"/>
    </row>
    <row r="103" spans="2:9" x14ac:dyDescent="0.3">
      <c r="B103" s="26"/>
      <c r="C103" s="26"/>
      <c r="D103" s="26"/>
      <c r="E103" s="26"/>
      <c r="F103" s="26"/>
      <c r="G103" s="26"/>
      <c r="H103" s="26"/>
      <c r="I103" s="26"/>
    </row>
    <row r="104" spans="2:9" x14ac:dyDescent="0.3">
      <c r="B104" s="26"/>
      <c r="C104" s="26"/>
      <c r="D104" s="26"/>
      <c r="E104" s="26"/>
      <c r="F104" s="26"/>
      <c r="G104" s="26"/>
      <c r="H104" s="26"/>
      <c r="I104" s="26"/>
    </row>
    <row r="105" spans="2:9" x14ac:dyDescent="0.3">
      <c r="B105" s="26"/>
      <c r="C105" s="26"/>
      <c r="D105" s="26"/>
      <c r="E105" s="26"/>
      <c r="F105" s="26"/>
      <c r="G105" s="26"/>
      <c r="H105" s="26"/>
      <c r="I105" s="26"/>
    </row>
    <row r="106" spans="2:9" x14ac:dyDescent="0.3">
      <c r="B106" s="26"/>
      <c r="C106" s="26"/>
      <c r="D106" s="26"/>
      <c r="E106" s="26"/>
      <c r="F106" s="26"/>
      <c r="G106" s="26"/>
      <c r="H106" s="26"/>
      <c r="I106" s="26"/>
    </row>
    <row r="107" spans="2:9" x14ac:dyDescent="0.3">
      <c r="B107" s="26"/>
      <c r="C107" s="26"/>
      <c r="D107" s="26"/>
      <c r="E107" s="26"/>
      <c r="F107" s="26"/>
      <c r="G107" s="26"/>
      <c r="H107" s="26"/>
      <c r="I107" s="26"/>
    </row>
    <row r="108" spans="2:9" x14ac:dyDescent="0.3">
      <c r="B108" s="26"/>
      <c r="C108" s="26"/>
      <c r="D108" s="26"/>
      <c r="E108" s="26"/>
      <c r="F108" s="26"/>
      <c r="G108" s="26"/>
      <c r="H108" s="26"/>
      <c r="I108" s="26"/>
    </row>
    <row r="109" spans="2:9" x14ac:dyDescent="0.3">
      <c r="B109" s="26"/>
      <c r="C109" s="26"/>
      <c r="D109" s="26"/>
      <c r="E109" s="26"/>
      <c r="F109" s="26"/>
      <c r="G109" s="26"/>
      <c r="H109" s="26"/>
      <c r="I109" s="26"/>
    </row>
    <row r="110" spans="2:9" x14ac:dyDescent="0.3">
      <c r="B110" s="26"/>
      <c r="C110" s="26"/>
      <c r="D110" s="26"/>
      <c r="E110" s="26"/>
      <c r="F110" s="26"/>
      <c r="G110" s="26"/>
      <c r="H110" s="26"/>
      <c r="I110" s="26"/>
    </row>
    <row r="111" spans="2:9" x14ac:dyDescent="0.3">
      <c r="B111" s="26"/>
      <c r="C111" s="26"/>
      <c r="D111" s="26"/>
      <c r="E111" s="26"/>
      <c r="F111" s="26"/>
      <c r="G111" s="26"/>
      <c r="H111" s="26"/>
      <c r="I111" s="26"/>
    </row>
    <row r="112" spans="2:9" x14ac:dyDescent="0.3">
      <c r="B112" s="26"/>
      <c r="C112" s="26"/>
      <c r="D112" s="26"/>
      <c r="E112" s="26"/>
      <c r="F112" s="26"/>
      <c r="G112" s="26"/>
      <c r="H112" s="26"/>
      <c r="I112" s="26"/>
    </row>
    <row r="113" spans="2:9" x14ac:dyDescent="0.3">
      <c r="B113" s="26"/>
      <c r="C113" s="26"/>
      <c r="D113" s="26"/>
      <c r="E113" s="26"/>
      <c r="F113" s="26"/>
      <c r="G113" s="26"/>
      <c r="H113" s="26"/>
      <c r="I113" s="26"/>
    </row>
    <row r="114" spans="2:9" x14ac:dyDescent="0.3">
      <c r="B114" s="26"/>
      <c r="C114" s="26"/>
      <c r="D114" s="26"/>
      <c r="E114" s="26"/>
      <c r="F114" s="26"/>
      <c r="G114" s="26"/>
      <c r="H114" s="26"/>
      <c r="I114" s="26"/>
    </row>
    <row r="115" spans="2:9" x14ac:dyDescent="0.3">
      <c r="B115" s="26"/>
      <c r="C115" s="26"/>
      <c r="D115" s="26"/>
      <c r="E115" s="26"/>
      <c r="F115" s="26"/>
      <c r="G115" s="26"/>
      <c r="H115" s="26"/>
      <c r="I115" s="26"/>
    </row>
    <row r="116" spans="2:9" x14ac:dyDescent="0.3">
      <c r="B116" s="26"/>
      <c r="C116" s="26"/>
      <c r="D116" s="26"/>
      <c r="E116" s="26"/>
      <c r="F116" s="26"/>
      <c r="G116" s="26"/>
      <c r="H116" s="26"/>
      <c r="I116" s="26"/>
    </row>
    <row r="117" spans="2:9" x14ac:dyDescent="0.3">
      <c r="B117" s="26"/>
      <c r="C117" s="26"/>
      <c r="D117" s="26"/>
      <c r="E117" s="26"/>
      <c r="F117" s="26"/>
      <c r="G117" s="26"/>
      <c r="H117" s="26"/>
      <c r="I117" s="26"/>
    </row>
    <row r="118" spans="2:9" x14ac:dyDescent="0.3">
      <c r="B118" s="26"/>
      <c r="C118" s="26"/>
      <c r="D118" s="26"/>
      <c r="E118" s="26"/>
      <c r="F118" s="26"/>
      <c r="G118" s="26"/>
      <c r="H118" s="26"/>
      <c r="I118" s="26"/>
    </row>
    <row r="119" spans="2:9" x14ac:dyDescent="0.3">
      <c r="B119" s="26"/>
      <c r="C119" s="26"/>
      <c r="D119" s="26"/>
      <c r="E119" s="26"/>
      <c r="F119" s="26"/>
      <c r="G119" s="26"/>
      <c r="H119" s="26"/>
      <c r="I119" s="26"/>
    </row>
    <row r="120" spans="2:9" x14ac:dyDescent="0.3">
      <c r="B120" s="26"/>
      <c r="C120" s="26"/>
      <c r="D120" s="26"/>
      <c r="E120" s="26"/>
      <c r="F120" s="26"/>
      <c r="G120" s="26"/>
      <c r="H120" s="26"/>
      <c r="I120" s="26"/>
    </row>
    <row r="121" spans="2:9" x14ac:dyDescent="0.3">
      <c r="B121" s="26"/>
      <c r="C121" s="26"/>
      <c r="D121" s="26"/>
      <c r="E121" s="26"/>
      <c r="F121" s="26"/>
      <c r="G121" s="26"/>
      <c r="H121" s="26"/>
      <c r="I121" s="26"/>
    </row>
    <row r="122" spans="2:9" x14ac:dyDescent="0.3">
      <c r="B122" s="26"/>
      <c r="C122" s="26"/>
      <c r="D122" s="26"/>
      <c r="E122" s="26"/>
      <c r="F122" s="26"/>
      <c r="G122" s="26"/>
      <c r="H122" s="26"/>
      <c r="I122" s="26"/>
    </row>
    <row r="123" spans="2:9" x14ac:dyDescent="0.3">
      <c r="B123" s="26"/>
      <c r="C123" s="26"/>
      <c r="D123" s="26"/>
      <c r="E123" s="26"/>
      <c r="F123" s="26"/>
      <c r="G123" s="26"/>
      <c r="H123" s="26"/>
      <c r="I123" s="26"/>
    </row>
    <row r="124" spans="2:9" x14ac:dyDescent="0.3">
      <c r="B124" s="26"/>
      <c r="C124" s="26"/>
      <c r="D124" s="26"/>
      <c r="E124" s="26"/>
      <c r="F124" s="26"/>
      <c r="G124" s="26"/>
      <c r="H124" s="26"/>
      <c r="I124" s="26"/>
    </row>
    <row r="125" spans="2:9" x14ac:dyDescent="0.3">
      <c r="B125" s="26"/>
      <c r="C125" s="26"/>
      <c r="D125" s="26"/>
      <c r="E125" s="26"/>
      <c r="F125" s="26"/>
      <c r="G125" s="26"/>
      <c r="H125" s="26"/>
      <c r="I125" s="26"/>
    </row>
    <row r="126" spans="2:9" x14ac:dyDescent="0.3">
      <c r="B126" s="26"/>
      <c r="C126" s="26"/>
      <c r="D126" s="26"/>
      <c r="E126" s="26"/>
      <c r="F126" s="26"/>
      <c r="G126" s="26"/>
      <c r="H126" s="26"/>
      <c r="I126" s="26"/>
    </row>
    <row r="127" spans="2:9" x14ac:dyDescent="0.3">
      <c r="B127" s="26"/>
      <c r="C127" s="26"/>
      <c r="D127" s="26"/>
      <c r="E127" s="26"/>
      <c r="F127" s="26"/>
      <c r="G127" s="26"/>
      <c r="H127" s="26"/>
      <c r="I127" s="26"/>
    </row>
    <row r="128" spans="2:9" x14ac:dyDescent="0.3">
      <c r="B128" s="26"/>
      <c r="C128" s="26"/>
      <c r="D128" s="26"/>
      <c r="E128" s="26"/>
      <c r="F128" s="26"/>
      <c r="G128" s="26"/>
      <c r="H128" s="26"/>
      <c r="I128" s="26"/>
    </row>
    <row r="129" spans="2:9" x14ac:dyDescent="0.3">
      <c r="B129" s="26"/>
      <c r="C129" s="26"/>
      <c r="D129" s="26"/>
      <c r="E129" s="26"/>
      <c r="F129" s="26"/>
      <c r="G129" s="26"/>
      <c r="H129" s="26"/>
      <c r="I129" s="26"/>
    </row>
    <row r="130" spans="2:9" x14ac:dyDescent="0.3">
      <c r="B130" s="26"/>
      <c r="C130" s="26"/>
      <c r="D130" s="26"/>
      <c r="E130" s="26"/>
      <c r="F130" s="26"/>
      <c r="G130" s="26"/>
      <c r="H130" s="26"/>
      <c r="I130" s="26"/>
    </row>
    <row r="131" spans="2:9" x14ac:dyDescent="0.3">
      <c r="B131" s="26"/>
      <c r="C131" s="26"/>
      <c r="D131" s="26"/>
      <c r="E131" s="26"/>
      <c r="F131" s="26"/>
      <c r="G131" s="26"/>
      <c r="H131" s="26"/>
      <c r="I131" s="26"/>
    </row>
    <row r="132" spans="2:9" x14ac:dyDescent="0.3">
      <c r="B132" s="26"/>
      <c r="C132" s="26"/>
      <c r="D132" s="26"/>
      <c r="E132" s="26"/>
      <c r="F132" s="26"/>
      <c r="G132" s="26"/>
      <c r="H132" s="26"/>
      <c r="I132" s="26"/>
    </row>
    <row r="133" spans="2:9" x14ac:dyDescent="0.3">
      <c r="B133" s="26"/>
      <c r="C133" s="26"/>
      <c r="D133" s="26"/>
      <c r="E133" s="26"/>
      <c r="F133" s="26"/>
      <c r="G133" s="26"/>
      <c r="H133" s="26"/>
      <c r="I133" s="26"/>
    </row>
    <row r="134" spans="2:9" x14ac:dyDescent="0.3">
      <c r="B134" s="26"/>
      <c r="C134" s="26"/>
      <c r="D134" s="26"/>
      <c r="E134" s="26"/>
      <c r="F134" s="26"/>
      <c r="G134" s="26"/>
      <c r="H134" s="26"/>
      <c r="I134" s="26"/>
    </row>
    <row r="135" spans="2:9" x14ac:dyDescent="0.3">
      <c r="B135" s="26"/>
      <c r="C135" s="26"/>
      <c r="D135" s="26"/>
      <c r="E135" s="26"/>
      <c r="F135" s="26"/>
      <c r="G135" s="26"/>
      <c r="H135" s="26"/>
      <c r="I135" s="26"/>
    </row>
    <row r="136" spans="2:9" x14ac:dyDescent="0.3">
      <c r="B136" s="26"/>
      <c r="C136" s="26"/>
      <c r="D136" s="26"/>
      <c r="E136" s="26"/>
      <c r="F136" s="26"/>
      <c r="G136" s="26"/>
      <c r="H136" s="26"/>
      <c r="I136" s="26"/>
    </row>
    <row r="137" spans="2:9" x14ac:dyDescent="0.3">
      <c r="B137" s="26"/>
      <c r="C137" s="26"/>
      <c r="D137" s="26"/>
      <c r="E137" s="26"/>
      <c r="F137" s="26"/>
      <c r="G137" s="26"/>
      <c r="H137" s="26"/>
      <c r="I137" s="26"/>
    </row>
    <row r="138" spans="2:9" x14ac:dyDescent="0.3">
      <c r="B138" s="26"/>
      <c r="C138" s="26"/>
      <c r="D138" s="26"/>
      <c r="E138" s="26"/>
      <c r="F138" s="26"/>
      <c r="G138" s="26"/>
      <c r="H138" s="26"/>
      <c r="I138" s="26"/>
    </row>
    <row r="139" spans="2:9" x14ac:dyDescent="0.3">
      <c r="B139" s="26"/>
      <c r="C139" s="26"/>
      <c r="D139" s="26"/>
      <c r="E139" s="26"/>
      <c r="F139" s="26"/>
      <c r="G139" s="26"/>
      <c r="H139" s="26"/>
      <c r="I139" s="26"/>
    </row>
    <row r="140" spans="2:9" x14ac:dyDescent="0.3">
      <c r="B140" s="26"/>
      <c r="C140" s="26"/>
      <c r="D140" s="26"/>
      <c r="E140" s="26"/>
      <c r="F140" s="26"/>
      <c r="G140" s="26"/>
      <c r="H140" s="26"/>
      <c r="I140" s="26"/>
    </row>
    <row r="141" spans="2:9" x14ac:dyDescent="0.3">
      <c r="B141" s="26"/>
      <c r="C141" s="26"/>
      <c r="D141" s="26"/>
      <c r="E141" s="26"/>
      <c r="F141" s="26"/>
      <c r="G141" s="26"/>
      <c r="H141" s="26"/>
      <c r="I141" s="26"/>
    </row>
    <row r="142" spans="2:9" x14ac:dyDescent="0.3">
      <c r="B142" s="26"/>
      <c r="C142" s="26"/>
      <c r="D142" s="26"/>
      <c r="E142" s="26"/>
      <c r="F142" s="26"/>
      <c r="G142" s="26"/>
      <c r="H142" s="26"/>
      <c r="I142" s="26"/>
    </row>
    <row r="143" spans="2:9" x14ac:dyDescent="0.3">
      <c r="B143" s="26"/>
      <c r="C143" s="26"/>
      <c r="D143" s="26"/>
      <c r="E143" s="26"/>
      <c r="F143" s="26"/>
      <c r="G143" s="26"/>
      <c r="H143" s="26"/>
      <c r="I143" s="26"/>
    </row>
    <row r="144" spans="2:9" x14ac:dyDescent="0.3">
      <c r="B144" s="26"/>
      <c r="C144" s="26"/>
      <c r="D144" s="26"/>
      <c r="E144" s="26"/>
      <c r="F144" s="26"/>
      <c r="G144" s="26"/>
      <c r="H144" s="26"/>
      <c r="I144" s="26"/>
    </row>
    <row r="145" spans="2:9" x14ac:dyDescent="0.3">
      <c r="B145" s="26"/>
      <c r="C145" s="26"/>
      <c r="D145" s="26"/>
      <c r="E145" s="26"/>
      <c r="F145" s="26"/>
      <c r="G145" s="26"/>
      <c r="H145" s="26"/>
      <c r="I145" s="26"/>
    </row>
    <row r="146" spans="2:9" x14ac:dyDescent="0.3">
      <c r="B146" s="26"/>
      <c r="C146" s="26"/>
      <c r="D146" s="26"/>
      <c r="E146" s="26"/>
      <c r="F146" s="26"/>
      <c r="G146" s="26"/>
      <c r="H146" s="26"/>
      <c r="I146" s="26"/>
    </row>
    <row r="147" spans="2:9" x14ac:dyDescent="0.3">
      <c r="B147" s="26"/>
      <c r="C147" s="26"/>
      <c r="D147" s="26"/>
      <c r="E147" s="26"/>
      <c r="F147" s="26"/>
      <c r="G147" s="26"/>
      <c r="H147" s="26"/>
      <c r="I147" s="26"/>
    </row>
    <row r="148" spans="2:9" x14ac:dyDescent="0.3">
      <c r="B148" s="26"/>
      <c r="C148" s="26"/>
      <c r="D148" s="26"/>
      <c r="E148" s="26"/>
      <c r="F148" s="26"/>
      <c r="G148" s="26"/>
      <c r="H148" s="26"/>
      <c r="I148" s="26"/>
    </row>
    <row r="149" spans="2:9" x14ac:dyDescent="0.3">
      <c r="B149" s="26"/>
      <c r="C149" s="26"/>
      <c r="D149" s="26"/>
      <c r="E149" s="26"/>
      <c r="F149" s="26"/>
      <c r="G149" s="26"/>
      <c r="H149" s="26"/>
      <c r="I149" s="26"/>
    </row>
    <row r="150" spans="2:9" x14ac:dyDescent="0.3">
      <c r="B150" s="26"/>
      <c r="C150" s="26"/>
      <c r="D150" s="26"/>
      <c r="E150" s="26"/>
      <c r="F150" s="26"/>
      <c r="G150" s="26"/>
      <c r="H150" s="26"/>
      <c r="I150" s="26"/>
    </row>
    <row r="151" spans="2:9" x14ac:dyDescent="0.3">
      <c r="B151" s="26"/>
      <c r="C151" s="26"/>
      <c r="D151" s="26"/>
      <c r="E151" s="26"/>
      <c r="F151" s="26"/>
      <c r="G151" s="26"/>
      <c r="H151" s="26"/>
      <c r="I151" s="26"/>
    </row>
    <row r="152" spans="2:9" x14ac:dyDescent="0.3">
      <c r="B152" s="26"/>
      <c r="C152" s="26"/>
      <c r="D152" s="26"/>
      <c r="E152" s="26"/>
      <c r="F152" s="26"/>
      <c r="G152" s="26"/>
      <c r="H152" s="26"/>
      <c r="I152" s="26"/>
    </row>
    <row r="153" spans="2:9" x14ac:dyDescent="0.3">
      <c r="B153" s="26"/>
      <c r="C153" s="26"/>
      <c r="D153" s="26"/>
      <c r="E153" s="26"/>
      <c r="F153" s="26"/>
      <c r="G153" s="26"/>
      <c r="H153" s="26"/>
      <c r="I153" s="26"/>
    </row>
    <row r="154" spans="2:9" x14ac:dyDescent="0.3">
      <c r="B154" s="26"/>
      <c r="C154" s="26"/>
      <c r="D154" s="26"/>
      <c r="E154" s="26"/>
      <c r="F154" s="26"/>
      <c r="G154" s="26"/>
      <c r="H154" s="26"/>
      <c r="I154" s="26"/>
    </row>
    <row r="155" spans="2:9" x14ac:dyDescent="0.3">
      <c r="B155" s="26"/>
      <c r="C155" s="26"/>
      <c r="D155" s="26"/>
      <c r="E155" s="26"/>
      <c r="F155" s="26"/>
      <c r="G155" s="26"/>
      <c r="H155" s="26"/>
      <c r="I155" s="26"/>
    </row>
    <row r="156" spans="2:9" x14ac:dyDescent="0.3">
      <c r="B156" s="26"/>
      <c r="C156" s="26"/>
      <c r="D156" s="26"/>
      <c r="E156" s="26"/>
      <c r="F156" s="26"/>
      <c r="G156" s="26"/>
      <c r="H156" s="26"/>
      <c r="I156" s="26"/>
    </row>
    <row r="157" spans="2:9" x14ac:dyDescent="0.3">
      <c r="B157" s="26"/>
      <c r="C157" s="26"/>
      <c r="D157" s="26"/>
      <c r="E157" s="26"/>
      <c r="F157" s="26"/>
      <c r="G157" s="26"/>
      <c r="H157" s="26"/>
      <c r="I157" s="26"/>
    </row>
    <row r="158" spans="2:9" x14ac:dyDescent="0.3">
      <c r="B158" s="26"/>
      <c r="C158" s="26"/>
      <c r="D158" s="26"/>
      <c r="E158" s="26"/>
      <c r="F158" s="26"/>
      <c r="G158" s="26"/>
      <c r="H158" s="26"/>
      <c r="I158" s="26"/>
    </row>
    <row r="159" spans="2:9" x14ac:dyDescent="0.3">
      <c r="B159" s="26"/>
      <c r="C159" s="26"/>
      <c r="D159" s="26"/>
      <c r="E159" s="26"/>
      <c r="F159" s="26"/>
      <c r="G159" s="26"/>
      <c r="H159" s="26"/>
      <c r="I159" s="26"/>
    </row>
    <row r="160" spans="2:9" x14ac:dyDescent="0.3">
      <c r="B160" s="26"/>
      <c r="C160" s="26"/>
      <c r="D160" s="26"/>
      <c r="E160" s="26"/>
      <c r="F160" s="26"/>
      <c r="G160" s="26"/>
      <c r="H160" s="26"/>
      <c r="I160" s="26"/>
    </row>
    <row r="161" spans="2:9" x14ac:dyDescent="0.3">
      <c r="B161" s="26"/>
      <c r="C161" s="26"/>
      <c r="D161" s="26"/>
      <c r="E161" s="26"/>
      <c r="F161" s="26"/>
      <c r="G161" s="26"/>
      <c r="H161" s="26"/>
      <c r="I161" s="26"/>
    </row>
    <row r="162" spans="2:9" x14ac:dyDescent="0.3">
      <c r="B162" s="26"/>
      <c r="C162" s="26"/>
      <c r="D162" s="26"/>
      <c r="E162" s="26"/>
      <c r="F162" s="26"/>
      <c r="G162" s="26"/>
      <c r="H162" s="26"/>
      <c r="I162" s="26"/>
    </row>
    <row r="163" spans="2:9" x14ac:dyDescent="0.3">
      <c r="B163" s="26"/>
      <c r="C163" s="26"/>
      <c r="D163" s="26"/>
      <c r="E163" s="26"/>
      <c r="F163" s="26"/>
      <c r="G163" s="26"/>
      <c r="H163" s="26"/>
      <c r="I163" s="26"/>
    </row>
    <row r="164" spans="2:9" x14ac:dyDescent="0.3">
      <c r="B164" s="26"/>
      <c r="C164" s="26"/>
      <c r="D164" s="26"/>
      <c r="E164" s="26"/>
      <c r="F164" s="26"/>
      <c r="G164" s="26"/>
      <c r="H164" s="26"/>
      <c r="I164" s="26"/>
    </row>
    <row r="165" spans="2:9" x14ac:dyDescent="0.3">
      <c r="B165" s="26"/>
      <c r="C165" s="26"/>
      <c r="D165" s="26"/>
      <c r="E165" s="26"/>
      <c r="F165" s="26"/>
      <c r="G165" s="26"/>
      <c r="H165" s="26"/>
      <c r="I165" s="26"/>
    </row>
    <row r="166" spans="2:9" x14ac:dyDescent="0.3">
      <c r="B166" s="26"/>
      <c r="C166" s="26"/>
      <c r="D166" s="26"/>
      <c r="E166" s="26"/>
      <c r="F166" s="26"/>
      <c r="G166" s="26"/>
      <c r="H166" s="26"/>
      <c r="I166" s="26"/>
    </row>
    <row r="167" spans="2:9" x14ac:dyDescent="0.3">
      <c r="B167" s="26"/>
      <c r="C167" s="26"/>
      <c r="D167" s="26"/>
      <c r="E167" s="26"/>
      <c r="F167" s="26"/>
      <c r="G167" s="26"/>
      <c r="H167" s="26"/>
      <c r="I167" s="26"/>
    </row>
    <row r="168" spans="2:9" x14ac:dyDescent="0.3">
      <c r="B168" s="26"/>
      <c r="C168" s="26"/>
      <c r="D168" s="26"/>
      <c r="E168" s="26"/>
      <c r="F168" s="26"/>
      <c r="G168" s="26"/>
      <c r="H168" s="26"/>
      <c r="I168" s="26"/>
    </row>
    <row r="169" spans="2:9" x14ac:dyDescent="0.3">
      <c r="B169" s="26"/>
      <c r="C169" s="26"/>
      <c r="D169" s="26"/>
      <c r="E169" s="26"/>
      <c r="F169" s="26"/>
      <c r="G169" s="26"/>
      <c r="H169" s="26"/>
      <c r="I169" s="26"/>
    </row>
    <row r="170" spans="2:9" x14ac:dyDescent="0.3">
      <c r="B170" s="26"/>
      <c r="C170" s="26"/>
      <c r="D170" s="26"/>
      <c r="E170" s="26"/>
      <c r="F170" s="26"/>
      <c r="G170" s="26"/>
      <c r="H170" s="26"/>
      <c r="I170" s="26"/>
    </row>
    <row r="171" spans="2:9" x14ac:dyDescent="0.3">
      <c r="B171" s="26"/>
      <c r="C171" s="26"/>
      <c r="D171" s="26"/>
      <c r="E171" s="26"/>
      <c r="F171" s="26"/>
      <c r="G171" s="26"/>
      <c r="H171" s="26"/>
      <c r="I171" s="26"/>
    </row>
    <row r="172" spans="2:9" x14ac:dyDescent="0.3">
      <c r="B172" s="26"/>
      <c r="C172" s="26"/>
      <c r="D172" s="26"/>
      <c r="E172" s="26"/>
      <c r="F172" s="26"/>
      <c r="G172" s="26"/>
      <c r="H172" s="26"/>
      <c r="I172" s="26"/>
    </row>
    <row r="173" spans="2:9" x14ac:dyDescent="0.3">
      <c r="B173" s="26"/>
      <c r="C173" s="26"/>
      <c r="D173" s="26"/>
      <c r="E173" s="26"/>
      <c r="F173" s="26"/>
      <c r="G173" s="26"/>
      <c r="H173" s="26"/>
      <c r="I173" s="26"/>
    </row>
    <row r="174" spans="2:9" x14ac:dyDescent="0.3">
      <c r="B174" s="26"/>
      <c r="C174" s="26"/>
      <c r="D174" s="26"/>
      <c r="E174" s="26"/>
      <c r="F174" s="26"/>
      <c r="G174" s="26"/>
      <c r="H174" s="26"/>
      <c r="I174" s="26"/>
    </row>
    <row r="175" spans="2:9" x14ac:dyDescent="0.3">
      <c r="B175" s="26"/>
      <c r="C175" s="26"/>
      <c r="D175" s="26"/>
      <c r="E175" s="26"/>
      <c r="F175" s="26"/>
      <c r="G175" s="26"/>
      <c r="H175" s="26"/>
      <c r="I175" s="26"/>
    </row>
    <row r="176" spans="2:9" x14ac:dyDescent="0.3">
      <c r="B176" s="26"/>
      <c r="C176" s="26"/>
      <c r="D176" s="26"/>
      <c r="E176" s="26"/>
      <c r="F176" s="26"/>
      <c r="G176" s="26"/>
      <c r="H176" s="26"/>
      <c r="I176" s="26"/>
    </row>
    <row r="177" spans="2:9" x14ac:dyDescent="0.3">
      <c r="B177" s="26"/>
      <c r="C177" s="26"/>
      <c r="D177" s="26"/>
      <c r="E177" s="26"/>
      <c r="F177" s="26"/>
      <c r="G177" s="26"/>
      <c r="H177" s="26"/>
      <c r="I177" s="26"/>
    </row>
    <row r="178" spans="2:9" x14ac:dyDescent="0.3">
      <c r="B178" s="26"/>
      <c r="C178" s="26"/>
      <c r="D178" s="26"/>
      <c r="E178" s="26"/>
      <c r="F178" s="26"/>
      <c r="G178" s="26"/>
      <c r="H178" s="26"/>
      <c r="I178" s="26"/>
    </row>
    <row r="179" spans="2:9" x14ac:dyDescent="0.3">
      <c r="B179" s="26"/>
      <c r="C179" s="26"/>
      <c r="D179" s="26"/>
      <c r="E179" s="26"/>
      <c r="F179" s="26"/>
      <c r="G179" s="26"/>
      <c r="H179" s="26"/>
      <c r="I179" s="26"/>
    </row>
    <row r="180" spans="2:9" x14ac:dyDescent="0.3">
      <c r="B180" s="26"/>
      <c r="C180" s="26"/>
      <c r="D180" s="26"/>
      <c r="E180" s="26"/>
      <c r="F180" s="26"/>
      <c r="G180" s="26"/>
      <c r="H180" s="26"/>
      <c r="I180" s="26"/>
    </row>
    <row r="181" spans="2:9" x14ac:dyDescent="0.3">
      <c r="B181" s="26"/>
      <c r="C181" s="26"/>
      <c r="D181" s="26"/>
      <c r="E181" s="26"/>
      <c r="F181" s="26"/>
      <c r="G181" s="26"/>
      <c r="H181" s="26"/>
      <c r="I181" s="26"/>
    </row>
    <row r="182" spans="2:9" x14ac:dyDescent="0.3">
      <c r="B182" s="26"/>
      <c r="C182" s="26"/>
      <c r="D182" s="26"/>
      <c r="E182" s="26"/>
      <c r="F182" s="26"/>
      <c r="G182" s="26"/>
      <c r="H182" s="26"/>
      <c r="I182" s="26"/>
    </row>
    <row r="183" spans="2:9" x14ac:dyDescent="0.3">
      <c r="B183" s="26"/>
      <c r="C183" s="26"/>
      <c r="D183" s="26"/>
      <c r="E183" s="26"/>
      <c r="F183" s="26"/>
      <c r="G183" s="26"/>
      <c r="H183" s="26"/>
      <c r="I183" s="26"/>
    </row>
    <row r="184" spans="2:9" x14ac:dyDescent="0.3">
      <c r="B184" s="26"/>
      <c r="C184" s="26"/>
      <c r="D184" s="26"/>
      <c r="E184" s="26"/>
      <c r="F184" s="26"/>
      <c r="G184" s="26"/>
      <c r="H184" s="26"/>
      <c r="I184" s="26"/>
    </row>
    <row r="185" spans="2:9" x14ac:dyDescent="0.3">
      <c r="B185" s="26"/>
      <c r="C185" s="26"/>
      <c r="D185" s="26"/>
      <c r="E185" s="26"/>
      <c r="F185" s="26"/>
      <c r="G185" s="26"/>
      <c r="H185" s="26"/>
      <c r="I185" s="26"/>
    </row>
    <row r="186" spans="2:9" x14ac:dyDescent="0.3">
      <c r="B186" s="26"/>
      <c r="C186" s="26"/>
      <c r="D186" s="26"/>
      <c r="E186" s="26"/>
      <c r="F186" s="26"/>
      <c r="G186" s="26"/>
      <c r="H186" s="26"/>
      <c r="I186" s="26"/>
    </row>
    <row r="187" spans="2:9" x14ac:dyDescent="0.3">
      <c r="B187" s="26"/>
      <c r="C187" s="26"/>
      <c r="D187" s="26"/>
      <c r="E187" s="26"/>
      <c r="F187" s="26"/>
      <c r="G187" s="26"/>
      <c r="H187" s="26"/>
      <c r="I187" s="26"/>
    </row>
    <row r="188" spans="2:9" x14ac:dyDescent="0.3">
      <c r="B188" s="26"/>
      <c r="C188" s="26"/>
      <c r="D188" s="26"/>
      <c r="E188" s="26"/>
      <c r="F188" s="26"/>
      <c r="G188" s="26"/>
      <c r="H188" s="26"/>
      <c r="I188" s="26"/>
    </row>
    <row r="189" spans="2:9" x14ac:dyDescent="0.3">
      <c r="B189" s="26"/>
      <c r="C189" s="26"/>
      <c r="D189" s="26"/>
      <c r="E189" s="26"/>
      <c r="F189" s="26"/>
      <c r="G189" s="26"/>
      <c r="H189" s="26"/>
      <c r="I189" s="26"/>
    </row>
    <row r="190" spans="2:9" x14ac:dyDescent="0.3">
      <c r="B190" s="26"/>
      <c r="C190" s="26"/>
      <c r="D190" s="26"/>
      <c r="E190" s="26"/>
      <c r="F190" s="26"/>
      <c r="G190" s="26"/>
      <c r="H190" s="26"/>
      <c r="I190" s="26"/>
    </row>
    <row r="191" spans="2:9" x14ac:dyDescent="0.3">
      <c r="B191" s="26"/>
      <c r="C191" s="26"/>
      <c r="D191" s="26"/>
      <c r="E191" s="26"/>
      <c r="F191" s="26"/>
      <c r="G191" s="26"/>
      <c r="H191" s="26"/>
      <c r="I191" s="26"/>
    </row>
    <row r="192" spans="2:9" x14ac:dyDescent="0.3">
      <c r="B192" s="26"/>
      <c r="C192" s="26"/>
      <c r="D192" s="26"/>
      <c r="E192" s="26"/>
      <c r="F192" s="26"/>
      <c r="G192" s="26"/>
      <c r="H192" s="26"/>
      <c r="I192" s="26"/>
    </row>
    <row r="193" spans="2:9" x14ac:dyDescent="0.3">
      <c r="B193" s="26"/>
      <c r="C193" s="26"/>
      <c r="D193" s="26"/>
      <c r="E193" s="26"/>
      <c r="F193" s="26"/>
      <c r="G193" s="26"/>
      <c r="H193" s="26"/>
      <c r="I193" s="26"/>
    </row>
    <row r="194" spans="2:9" x14ac:dyDescent="0.3">
      <c r="B194" s="26"/>
      <c r="C194" s="26"/>
      <c r="D194" s="26"/>
      <c r="E194" s="26"/>
      <c r="F194" s="26"/>
      <c r="G194" s="26"/>
      <c r="H194" s="26"/>
      <c r="I194" s="26"/>
    </row>
    <row r="195" spans="2:9" x14ac:dyDescent="0.3">
      <c r="B195" s="26"/>
      <c r="C195" s="26"/>
      <c r="D195" s="26"/>
      <c r="E195" s="26"/>
      <c r="F195" s="26"/>
      <c r="G195" s="26"/>
      <c r="H195" s="26"/>
      <c r="I195" s="26"/>
    </row>
    <row r="196" spans="2:9" x14ac:dyDescent="0.3">
      <c r="B196" s="26"/>
      <c r="C196" s="26"/>
      <c r="D196" s="26"/>
      <c r="E196" s="26"/>
      <c r="F196" s="26"/>
      <c r="G196" s="26"/>
      <c r="H196" s="26"/>
      <c r="I196" s="26"/>
    </row>
    <row r="197" spans="2:9" x14ac:dyDescent="0.3">
      <c r="B197" s="26"/>
      <c r="C197" s="26"/>
      <c r="D197" s="26"/>
      <c r="E197" s="26"/>
      <c r="F197" s="26"/>
      <c r="G197" s="26"/>
      <c r="H197" s="26"/>
      <c r="I197" s="26"/>
    </row>
    <row r="198" spans="2:9" x14ac:dyDescent="0.3">
      <c r="B198" s="26"/>
      <c r="C198" s="26"/>
      <c r="D198" s="26"/>
      <c r="E198" s="26"/>
      <c r="F198" s="26"/>
      <c r="G198" s="26"/>
      <c r="H198" s="26"/>
      <c r="I198" s="26"/>
    </row>
    <row r="199" spans="2:9" x14ac:dyDescent="0.3">
      <c r="B199" s="26"/>
      <c r="C199" s="26"/>
      <c r="D199" s="26"/>
      <c r="E199" s="26"/>
      <c r="F199" s="26"/>
      <c r="G199" s="26"/>
      <c r="H199" s="26"/>
      <c r="I199" s="26"/>
    </row>
    <row r="200" spans="2:9" x14ac:dyDescent="0.3">
      <c r="B200" s="26"/>
      <c r="C200" s="26"/>
      <c r="D200" s="26"/>
      <c r="E200" s="26"/>
      <c r="F200" s="26"/>
      <c r="G200" s="26"/>
      <c r="H200" s="26"/>
      <c r="I200" s="26"/>
    </row>
    <row r="201" spans="2:9" x14ac:dyDescent="0.3">
      <c r="B201" s="26"/>
      <c r="C201" s="26"/>
      <c r="D201" s="26"/>
      <c r="E201" s="26"/>
      <c r="F201" s="26"/>
      <c r="G201" s="26"/>
      <c r="H201" s="26"/>
      <c r="I201" s="26"/>
    </row>
    <row r="202" spans="2:9" x14ac:dyDescent="0.3">
      <c r="B202" s="26"/>
      <c r="C202" s="26"/>
      <c r="D202" s="26"/>
      <c r="E202" s="26"/>
      <c r="F202" s="26"/>
      <c r="G202" s="26"/>
      <c r="H202" s="26"/>
      <c r="I202" s="26"/>
    </row>
    <row r="203" spans="2:9" x14ac:dyDescent="0.3">
      <c r="B203" s="26"/>
      <c r="C203" s="26"/>
      <c r="D203" s="26"/>
      <c r="E203" s="26"/>
      <c r="F203" s="26"/>
      <c r="G203" s="26"/>
      <c r="H203" s="26"/>
      <c r="I203" s="26"/>
    </row>
    <row r="204" spans="2:9" x14ac:dyDescent="0.3">
      <c r="B204" s="26"/>
      <c r="C204" s="26"/>
      <c r="D204" s="26"/>
      <c r="E204" s="26"/>
      <c r="F204" s="26"/>
      <c r="G204" s="26"/>
      <c r="H204" s="26"/>
      <c r="I204" s="26"/>
    </row>
    <row r="205" spans="2:9" x14ac:dyDescent="0.3">
      <c r="B205" s="26"/>
      <c r="C205" s="26"/>
      <c r="D205" s="26"/>
      <c r="E205" s="26"/>
      <c r="F205" s="26"/>
      <c r="G205" s="26"/>
      <c r="H205" s="26"/>
      <c r="I205" s="26"/>
    </row>
    <row r="206" spans="2:9" x14ac:dyDescent="0.3">
      <c r="B206" s="26"/>
      <c r="C206" s="26"/>
      <c r="D206" s="26"/>
      <c r="E206" s="26"/>
      <c r="F206" s="26"/>
      <c r="G206" s="26"/>
      <c r="H206" s="26"/>
      <c r="I206" s="26"/>
    </row>
    <row r="207" spans="2:9" x14ac:dyDescent="0.3">
      <c r="B207" s="26"/>
      <c r="C207" s="26"/>
      <c r="D207" s="26"/>
      <c r="E207" s="26"/>
      <c r="F207" s="26"/>
      <c r="G207" s="26"/>
      <c r="H207" s="26"/>
      <c r="I207" s="26"/>
    </row>
    <row r="208" spans="2:9" x14ac:dyDescent="0.3">
      <c r="B208" s="26"/>
      <c r="C208" s="26"/>
      <c r="D208" s="26"/>
      <c r="E208" s="26"/>
      <c r="F208" s="26"/>
      <c r="G208" s="26"/>
      <c r="H208" s="26"/>
      <c r="I208" s="26"/>
    </row>
    <row r="209" spans="2:9" x14ac:dyDescent="0.3">
      <c r="B209" s="26"/>
      <c r="C209" s="26"/>
      <c r="D209" s="26"/>
      <c r="E209" s="26"/>
      <c r="F209" s="26"/>
      <c r="G209" s="26"/>
      <c r="H209" s="26"/>
      <c r="I209" s="26"/>
    </row>
    <row r="210" spans="2:9" x14ac:dyDescent="0.3">
      <c r="B210" s="26"/>
      <c r="C210" s="26"/>
      <c r="D210" s="26"/>
      <c r="E210" s="26"/>
      <c r="F210" s="26"/>
      <c r="G210" s="26"/>
      <c r="H210" s="26"/>
      <c r="I210" s="26"/>
    </row>
    <row r="211" spans="2:9" x14ac:dyDescent="0.3">
      <c r="B211" s="26"/>
      <c r="C211" s="26"/>
      <c r="D211" s="26"/>
      <c r="E211" s="26"/>
      <c r="F211" s="26"/>
      <c r="G211" s="26"/>
      <c r="H211" s="26"/>
      <c r="I211" s="26"/>
    </row>
    <row r="212" spans="2:9" x14ac:dyDescent="0.3">
      <c r="B212" s="26"/>
      <c r="C212" s="26"/>
      <c r="D212" s="26"/>
      <c r="E212" s="26"/>
      <c r="F212" s="26"/>
      <c r="G212" s="26"/>
      <c r="H212" s="26"/>
      <c r="I212" s="26"/>
    </row>
    <row r="213" spans="2:9" x14ac:dyDescent="0.3">
      <c r="B213" s="26"/>
      <c r="C213" s="26"/>
      <c r="D213" s="26"/>
      <c r="E213" s="26"/>
      <c r="F213" s="26"/>
      <c r="G213" s="26"/>
      <c r="H213" s="26"/>
      <c r="I213" s="26"/>
    </row>
    <row r="214" spans="2:9" x14ac:dyDescent="0.3">
      <c r="B214" s="26"/>
      <c r="C214" s="26"/>
      <c r="D214" s="26"/>
      <c r="E214" s="26"/>
      <c r="F214" s="26"/>
      <c r="G214" s="26"/>
      <c r="H214" s="26"/>
      <c r="I214" s="26"/>
    </row>
    <row r="215" spans="2:9" x14ac:dyDescent="0.3">
      <c r="B215" s="26"/>
      <c r="C215" s="26"/>
      <c r="D215" s="26"/>
      <c r="E215" s="26"/>
      <c r="F215" s="26"/>
      <c r="G215" s="26"/>
      <c r="H215" s="26"/>
      <c r="I215" s="26"/>
    </row>
    <row r="216" spans="2:9" x14ac:dyDescent="0.3">
      <c r="B216" s="26"/>
      <c r="C216" s="26"/>
      <c r="D216" s="26"/>
      <c r="E216" s="26"/>
      <c r="F216" s="26"/>
      <c r="G216" s="26"/>
      <c r="H216" s="26"/>
      <c r="I216" s="26"/>
    </row>
    <row r="217" spans="2:9" x14ac:dyDescent="0.3">
      <c r="B217" s="26"/>
      <c r="C217" s="26"/>
      <c r="D217" s="26"/>
      <c r="E217" s="26"/>
      <c r="F217" s="26"/>
      <c r="G217" s="26"/>
      <c r="H217" s="26"/>
      <c r="I217" s="26"/>
    </row>
    <row r="218" spans="2:9" x14ac:dyDescent="0.3">
      <c r="B218" s="26"/>
      <c r="C218" s="26"/>
      <c r="D218" s="26"/>
      <c r="E218" s="26"/>
      <c r="F218" s="26"/>
      <c r="G218" s="26"/>
      <c r="H218" s="26"/>
      <c r="I218" s="26"/>
    </row>
    <row r="219" spans="2:9" x14ac:dyDescent="0.3">
      <c r="B219" s="26"/>
      <c r="C219" s="26"/>
      <c r="D219" s="26"/>
      <c r="E219" s="26"/>
      <c r="F219" s="26"/>
      <c r="G219" s="26"/>
      <c r="H219" s="26"/>
      <c r="I219" s="26"/>
    </row>
    <row r="220" spans="2:9" x14ac:dyDescent="0.3">
      <c r="B220" s="26"/>
      <c r="C220" s="26"/>
      <c r="D220" s="26"/>
      <c r="E220" s="26"/>
      <c r="F220" s="26"/>
      <c r="G220" s="26"/>
      <c r="H220" s="26"/>
      <c r="I220" s="26"/>
    </row>
    <row r="221" spans="2:9" x14ac:dyDescent="0.3">
      <c r="B221" s="26"/>
      <c r="C221" s="26"/>
      <c r="D221" s="26"/>
      <c r="E221" s="26"/>
      <c r="F221" s="26"/>
      <c r="G221" s="26"/>
      <c r="H221" s="26"/>
      <c r="I221" s="26"/>
    </row>
    <row r="222" spans="2:9" x14ac:dyDescent="0.3">
      <c r="B222" s="26"/>
      <c r="C222" s="26"/>
      <c r="D222" s="26"/>
      <c r="E222" s="26"/>
      <c r="F222" s="26"/>
      <c r="G222" s="26"/>
      <c r="H222" s="26"/>
      <c r="I222" s="26"/>
    </row>
    <row r="223" spans="2:9" x14ac:dyDescent="0.3">
      <c r="B223" s="26"/>
      <c r="C223" s="26"/>
      <c r="D223" s="26"/>
      <c r="E223" s="26"/>
      <c r="F223" s="26"/>
      <c r="G223" s="26"/>
      <c r="H223" s="26"/>
      <c r="I223" s="26"/>
    </row>
    <row r="224" spans="2:9" x14ac:dyDescent="0.3">
      <c r="B224" s="26"/>
      <c r="C224" s="26"/>
      <c r="D224" s="26"/>
      <c r="E224" s="26"/>
      <c r="F224" s="26"/>
      <c r="G224" s="26"/>
      <c r="H224" s="26"/>
      <c r="I224" s="26"/>
    </row>
    <row r="225" spans="2:9" x14ac:dyDescent="0.3">
      <c r="B225" s="26"/>
      <c r="C225" s="26"/>
      <c r="D225" s="26"/>
      <c r="E225" s="26"/>
      <c r="F225" s="26"/>
      <c r="G225" s="26"/>
      <c r="H225" s="26"/>
      <c r="I225" s="26"/>
    </row>
    <row r="226" spans="2:9" x14ac:dyDescent="0.3">
      <c r="B226" s="26"/>
      <c r="C226" s="26"/>
      <c r="D226" s="26"/>
      <c r="E226" s="26"/>
      <c r="F226" s="26"/>
      <c r="G226" s="26"/>
      <c r="H226" s="26"/>
      <c r="I226" s="26"/>
    </row>
    <row r="227" spans="2:9" x14ac:dyDescent="0.3">
      <c r="B227" s="26"/>
      <c r="C227" s="26"/>
      <c r="D227" s="26"/>
      <c r="E227" s="26"/>
      <c r="F227" s="26"/>
      <c r="G227" s="26"/>
      <c r="H227" s="26"/>
      <c r="I227" s="26"/>
    </row>
    <row r="228" spans="2:9" x14ac:dyDescent="0.3">
      <c r="B228" s="26"/>
      <c r="C228" s="26"/>
      <c r="D228" s="26"/>
      <c r="E228" s="26"/>
      <c r="F228" s="26"/>
      <c r="G228" s="26"/>
      <c r="H228" s="26"/>
      <c r="I228" s="26"/>
    </row>
    <row r="229" spans="2:9" x14ac:dyDescent="0.3">
      <c r="B229" s="26"/>
      <c r="C229" s="26"/>
      <c r="D229" s="26"/>
      <c r="E229" s="26"/>
      <c r="F229" s="26"/>
      <c r="G229" s="26"/>
      <c r="H229" s="26"/>
      <c r="I229" s="26"/>
    </row>
    <row r="230" spans="2:9" x14ac:dyDescent="0.3">
      <c r="B230" s="26"/>
      <c r="C230" s="26"/>
      <c r="D230" s="26"/>
      <c r="E230" s="26"/>
      <c r="F230" s="26"/>
      <c r="G230" s="26"/>
      <c r="H230" s="26"/>
      <c r="I230" s="26"/>
    </row>
    <row r="231" spans="2:9" x14ac:dyDescent="0.3">
      <c r="B231" s="26"/>
      <c r="C231" s="26"/>
      <c r="D231" s="26"/>
      <c r="E231" s="26"/>
      <c r="F231" s="26"/>
      <c r="G231" s="26"/>
      <c r="H231" s="26"/>
      <c r="I231" s="26"/>
    </row>
    <row r="232" spans="2:9" x14ac:dyDescent="0.3">
      <c r="B232" s="26"/>
      <c r="C232" s="26"/>
      <c r="D232" s="26"/>
      <c r="E232" s="26"/>
      <c r="F232" s="26"/>
      <c r="G232" s="26"/>
      <c r="H232" s="26"/>
      <c r="I232" s="26"/>
    </row>
    <row r="233" spans="2:9" x14ac:dyDescent="0.3">
      <c r="B233" s="26"/>
      <c r="C233" s="26"/>
      <c r="D233" s="26"/>
      <c r="E233" s="26"/>
      <c r="F233" s="26"/>
      <c r="G233" s="26"/>
      <c r="H233" s="26"/>
      <c r="I233" s="26"/>
    </row>
    <row r="234" spans="2:9" x14ac:dyDescent="0.3">
      <c r="B234" s="26"/>
      <c r="C234" s="26"/>
      <c r="D234" s="26"/>
      <c r="E234" s="26"/>
      <c r="F234" s="26"/>
      <c r="G234" s="26"/>
      <c r="H234" s="26"/>
      <c r="I234" s="26"/>
    </row>
    <row r="235" spans="2:9" x14ac:dyDescent="0.3">
      <c r="B235" s="26"/>
      <c r="C235" s="26"/>
      <c r="D235" s="26"/>
      <c r="E235" s="26"/>
      <c r="F235" s="26"/>
      <c r="G235" s="26"/>
      <c r="H235" s="26"/>
      <c r="I235" s="26"/>
    </row>
    <row r="236" spans="2:9" x14ac:dyDescent="0.3">
      <c r="B236" s="26"/>
      <c r="C236" s="26"/>
      <c r="D236" s="26"/>
      <c r="E236" s="26"/>
      <c r="F236" s="26"/>
      <c r="G236" s="26"/>
      <c r="H236" s="26"/>
      <c r="I236" s="26"/>
    </row>
    <row r="237" spans="2:9" x14ac:dyDescent="0.3">
      <c r="B237" s="26"/>
      <c r="C237" s="26"/>
      <c r="D237" s="26"/>
      <c r="E237" s="26"/>
      <c r="F237" s="26"/>
      <c r="G237" s="26"/>
      <c r="H237" s="26"/>
      <c r="I237" s="26"/>
    </row>
    <row r="238" spans="2:9" x14ac:dyDescent="0.3">
      <c r="B238" s="26"/>
      <c r="C238" s="26"/>
      <c r="D238" s="26"/>
      <c r="E238" s="26"/>
      <c r="F238" s="26"/>
      <c r="G238" s="26"/>
      <c r="H238" s="26"/>
      <c r="I238" s="26"/>
    </row>
    <row r="239" spans="2:9" x14ac:dyDescent="0.3">
      <c r="B239" s="26"/>
      <c r="C239" s="26"/>
      <c r="D239" s="26"/>
      <c r="E239" s="26"/>
      <c r="F239" s="26"/>
      <c r="G239" s="26"/>
      <c r="H239" s="26"/>
      <c r="I239" s="26"/>
    </row>
    <row r="240" spans="2:9" x14ac:dyDescent="0.3">
      <c r="B240" s="26"/>
      <c r="C240" s="26"/>
      <c r="D240" s="26"/>
      <c r="E240" s="26"/>
      <c r="F240" s="26"/>
      <c r="G240" s="26"/>
      <c r="H240" s="26"/>
      <c r="I240" s="26"/>
    </row>
    <row r="241" spans="2:9" x14ac:dyDescent="0.3">
      <c r="B241" s="26"/>
      <c r="C241" s="26"/>
      <c r="D241" s="26"/>
      <c r="E241" s="26"/>
      <c r="F241" s="26"/>
      <c r="G241" s="26"/>
      <c r="H241" s="26"/>
      <c r="I241" s="26"/>
    </row>
    <row r="242" spans="2:9" x14ac:dyDescent="0.3">
      <c r="B242" s="26"/>
      <c r="C242" s="26"/>
      <c r="D242" s="26"/>
      <c r="E242" s="26"/>
      <c r="F242" s="26"/>
      <c r="G242" s="26"/>
      <c r="H242" s="26"/>
      <c r="I242" s="26"/>
    </row>
    <row r="243" spans="2:9" x14ac:dyDescent="0.3">
      <c r="B243" s="26"/>
      <c r="C243" s="26"/>
      <c r="D243" s="26"/>
      <c r="E243" s="26"/>
      <c r="F243" s="26"/>
      <c r="G243" s="26"/>
      <c r="H243" s="26"/>
      <c r="I243" s="26"/>
    </row>
    <row r="244" spans="2:9" x14ac:dyDescent="0.3">
      <c r="B244" s="26"/>
      <c r="C244" s="26"/>
      <c r="D244" s="26"/>
      <c r="E244" s="26"/>
      <c r="F244" s="26"/>
      <c r="G244" s="26"/>
      <c r="H244" s="26"/>
      <c r="I244" s="26"/>
    </row>
    <row r="245" spans="2:9" x14ac:dyDescent="0.3">
      <c r="B245" s="26"/>
      <c r="C245" s="26"/>
      <c r="D245" s="26"/>
      <c r="E245" s="26"/>
      <c r="F245" s="26"/>
      <c r="G245" s="26"/>
      <c r="H245" s="26"/>
      <c r="I245" s="26"/>
    </row>
    <row r="246" spans="2:9" x14ac:dyDescent="0.3">
      <c r="B246" s="26"/>
      <c r="C246" s="26"/>
      <c r="D246" s="26"/>
      <c r="E246" s="26"/>
      <c r="F246" s="26"/>
      <c r="G246" s="26"/>
      <c r="H246" s="26"/>
      <c r="I246" s="26"/>
    </row>
    <row r="247" spans="2:9" x14ac:dyDescent="0.3">
      <c r="B247" s="26"/>
      <c r="C247" s="26"/>
      <c r="D247" s="26"/>
      <c r="E247" s="26"/>
      <c r="F247" s="26"/>
      <c r="G247" s="26"/>
      <c r="H247" s="26"/>
      <c r="I247" s="26"/>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2" bestFit="1" customWidth="1"/>
    <col min="2" max="2" width="20" style="22" customWidth="1"/>
    <col min="3" max="3" width="20.81640625" style="22" customWidth="1"/>
    <col min="4" max="4" width="11.453125" style="22" bestFit="1" customWidth="1"/>
    <col min="5" max="5" width="9.1796875" style="22" customWidth="1"/>
    <col min="6" max="16384" width="9.1796875" style="22"/>
  </cols>
  <sheetData>
    <row r="2" spans="1:19" ht="54.75" customHeight="1" x14ac:dyDescent="0.45">
      <c r="A2" s="279" t="str">
        <f>DEBT_AS_OF_DATE&amp;"
"&amp;BY_INTEREST_RATE</f>
        <v>Державний та гарантований державою борг України
станом на 28.02.2025
(за видами відсоткових ставок)</v>
      </c>
      <c r="B2" s="280"/>
      <c r="C2" s="280"/>
      <c r="D2" s="280"/>
      <c r="E2" s="59"/>
      <c r="F2" s="59"/>
      <c r="G2" s="59"/>
      <c r="H2" s="59"/>
      <c r="I2" s="59"/>
      <c r="J2" s="59"/>
      <c r="K2" s="59"/>
      <c r="L2" s="59"/>
      <c r="M2" s="59"/>
      <c r="N2" s="59"/>
      <c r="O2" s="59"/>
      <c r="P2" s="59"/>
      <c r="Q2" s="59"/>
      <c r="R2" s="59"/>
      <c r="S2" s="59"/>
    </row>
    <row r="3" spans="1:19" x14ac:dyDescent="0.3">
      <c r="A3" s="281"/>
      <c r="B3" s="281"/>
      <c r="C3" s="281"/>
      <c r="D3" s="281"/>
    </row>
    <row r="4" spans="1:19" s="27" customFormat="1" x14ac:dyDescent="0.3">
      <c r="D4" s="27" t="str">
        <f>VALVAL</f>
        <v>млрд. одиниць</v>
      </c>
    </row>
    <row r="5" spans="1:19" s="14" customFormat="1" x14ac:dyDescent="0.25">
      <c r="A5" s="12"/>
      <c r="B5" s="143" t="str">
        <f>USD</f>
        <v>дол.США</v>
      </c>
      <c r="C5" s="143" t="str">
        <f>UAH</f>
        <v>грн.</v>
      </c>
      <c r="D5" s="57" t="s">
        <v>0</v>
      </c>
    </row>
    <row r="6" spans="1:19" s="130" customFormat="1" ht="15.5" x14ac:dyDescent="0.25">
      <c r="A6" s="142" t="str">
        <f>DEBT_TOTAL</f>
        <v>Загальна сума державного та гарантованого державою боргу</v>
      </c>
      <c r="B6" s="128">
        <f>SUM(B$7+ B$8)</f>
        <v>169.08837600780001</v>
      </c>
      <c r="C6" s="128">
        <f>SUM(C$7+ C$8)</f>
        <v>7019.5348415889603</v>
      </c>
      <c r="D6" s="129">
        <f>SUM(D$7+ D$8)</f>
        <v>1</v>
      </c>
    </row>
    <row r="7" spans="1:19" s="38" customFormat="1" ht="14" outlineLevel="1" x14ac:dyDescent="0.25">
      <c r="A7" s="238" t="s">
        <v>176</v>
      </c>
      <c r="B7" s="239">
        <v>57.34619687683</v>
      </c>
      <c r="C7" s="239">
        <v>2380.67001714239</v>
      </c>
      <c r="D7" s="240">
        <v>0.33914899999999998</v>
      </c>
    </row>
    <row r="8" spans="1:19" s="38" customFormat="1" ht="14" outlineLevel="1" x14ac:dyDescent="0.25">
      <c r="A8" s="238" t="s">
        <v>177</v>
      </c>
      <c r="B8" s="239">
        <v>111.74217913097</v>
      </c>
      <c r="C8" s="239">
        <v>4638.8648244465703</v>
      </c>
      <c r="D8" s="240">
        <v>0.66085099999999997</v>
      </c>
    </row>
    <row r="9" spans="1:19" x14ac:dyDescent="0.3">
      <c r="B9" s="25"/>
      <c r="C9" s="25"/>
      <c r="D9" s="25"/>
      <c r="E9" s="26"/>
      <c r="F9" s="26"/>
      <c r="G9" s="26"/>
      <c r="H9" s="26"/>
      <c r="I9" s="26"/>
      <c r="J9" s="26"/>
      <c r="K9" s="26"/>
      <c r="L9" s="26"/>
      <c r="M9" s="26"/>
      <c r="N9" s="26"/>
      <c r="O9" s="26"/>
      <c r="P9" s="26"/>
      <c r="Q9" s="26"/>
    </row>
    <row r="10" spans="1:19" x14ac:dyDescent="0.3">
      <c r="B10" s="25"/>
      <c r="C10" s="25"/>
      <c r="D10" s="25"/>
      <c r="E10" s="26"/>
      <c r="F10" s="26"/>
      <c r="G10" s="26"/>
      <c r="H10" s="26"/>
      <c r="I10" s="26"/>
      <c r="J10" s="26"/>
      <c r="K10" s="26"/>
      <c r="L10" s="26"/>
      <c r="M10" s="26"/>
      <c r="N10" s="26"/>
      <c r="O10" s="26"/>
      <c r="P10" s="26"/>
      <c r="Q10" s="26"/>
    </row>
    <row r="11" spans="1:19" x14ac:dyDescent="0.3">
      <c r="B11" s="25"/>
      <c r="C11" s="25"/>
      <c r="D11" s="25"/>
      <c r="E11" s="26"/>
      <c r="F11" s="26"/>
      <c r="G11" s="26"/>
      <c r="H11" s="26"/>
      <c r="I11" s="26"/>
      <c r="J11" s="26"/>
      <c r="K11" s="26"/>
      <c r="L11" s="26"/>
      <c r="M11" s="26"/>
      <c r="N11" s="26"/>
      <c r="O11" s="26"/>
      <c r="P11" s="26"/>
      <c r="Q11" s="26"/>
    </row>
    <row r="12" spans="1:19" x14ac:dyDescent="0.3">
      <c r="B12" s="26"/>
      <c r="C12" s="26"/>
      <c r="D12" s="26"/>
      <c r="E12" s="26"/>
      <c r="F12" s="26"/>
      <c r="G12" s="26"/>
      <c r="H12" s="26"/>
      <c r="I12" s="26"/>
      <c r="J12" s="26"/>
      <c r="K12" s="26"/>
      <c r="L12" s="26"/>
      <c r="M12" s="26"/>
      <c r="N12" s="26"/>
      <c r="O12" s="26"/>
      <c r="P12" s="26"/>
      <c r="Q12" s="26"/>
    </row>
    <row r="13" spans="1:19" x14ac:dyDescent="0.3">
      <c r="B13" s="26"/>
      <c r="C13" s="26"/>
      <c r="D13" s="26"/>
      <c r="E13" s="26"/>
      <c r="F13" s="26"/>
      <c r="G13" s="26"/>
      <c r="H13" s="26"/>
      <c r="I13" s="26"/>
      <c r="J13" s="26"/>
      <c r="K13" s="26"/>
      <c r="L13" s="26"/>
      <c r="M13" s="26"/>
      <c r="N13" s="26"/>
      <c r="O13" s="26"/>
      <c r="P13" s="26"/>
      <c r="Q13" s="26"/>
    </row>
    <row r="14" spans="1:19" x14ac:dyDescent="0.3">
      <c r="B14" s="26"/>
      <c r="C14" s="26"/>
      <c r="D14" s="26"/>
      <c r="E14" s="26"/>
      <c r="F14" s="26"/>
      <c r="G14" s="26"/>
      <c r="H14" s="26"/>
      <c r="I14" s="26"/>
      <c r="J14" s="26"/>
      <c r="K14" s="26"/>
      <c r="L14" s="26"/>
      <c r="M14" s="26"/>
      <c r="N14" s="26"/>
      <c r="O14" s="26"/>
      <c r="P14" s="26"/>
      <c r="Q14" s="26"/>
    </row>
    <row r="15" spans="1:19" x14ac:dyDescent="0.3">
      <c r="B15" s="26"/>
      <c r="C15" s="26"/>
      <c r="D15" s="26"/>
      <c r="E15" s="26"/>
      <c r="F15" s="26"/>
      <c r="G15" s="26"/>
      <c r="H15" s="26"/>
      <c r="I15" s="26"/>
      <c r="J15" s="26"/>
      <c r="K15" s="26"/>
      <c r="L15" s="26"/>
      <c r="M15" s="26"/>
      <c r="N15" s="26"/>
      <c r="O15" s="26"/>
      <c r="P15" s="26"/>
      <c r="Q15" s="26"/>
    </row>
    <row r="16" spans="1:19" x14ac:dyDescent="0.3">
      <c r="B16" s="26"/>
      <c r="C16" s="26"/>
      <c r="D16" s="26"/>
      <c r="E16" s="26"/>
      <c r="F16" s="26"/>
      <c r="G16" s="26"/>
      <c r="H16" s="26"/>
      <c r="I16" s="26"/>
      <c r="J16" s="26"/>
      <c r="K16" s="26"/>
      <c r="L16" s="26"/>
      <c r="M16" s="26"/>
      <c r="N16" s="26"/>
      <c r="O16" s="26"/>
      <c r="P16" s="26"/>
      <c r="Q16" s="26"/>
    </row>
    <row r="17" spans="2:17" x14ac:dyDescent="0.3">
      <c r="B17" s="26"/>
      <c r="C17" s="26"/>
      <c r="D17" s="26"/>
      <c r="E17" s="26"/>
      <c r="F17" s="26"/>
      <c r="G17" s="26"/>
      <c r="H17" s="26"/>
      <c r="I17" s="26"/>
      <c r="J17" s="26"/>
      <c r="K17" s="26"/>
      <c r="L17" s="26"/>
      <c r="M17" s="26"/>
      <c r="N17" s="26"/>
      <c r="O17" s="26"/>
      <c r="P17" s="26"/>
      <c r="Q17" s="26"/>
    </row>
    <row r="18" spans="2:17" x14ac:dyDescent="0.3">
      <c r="B18" s="26"/>
      <c r="C18" s="26"/>
      <c r="D18" s="26"/>
      <c r="E18" s="26"/>
      <c r="F18" s="26"/>
      <c r="G18" s="26"/>
      <c r="H18" s="26"/>
      <c r="I18" s="26"/>
      <c r="J18" s="26"/>
      <c r="K18" s="26"/>
      <c r="L18" s="26"/>
      <c r="M18" s="26"/>
      <c r="N18" s="26"/>
      <c r="O18" s="26"/>
      <c r="P18" s="26"/>
      <c r="Q18" s="26"/>
    </row>
    <row r="19" spans="2:17" x14ac:dyDescent="0.3">
      <c r="B19" s="26"/>
      <c r="C19" s="26"/>
      <c r="D19" s="26"/>
      <c r="E19" s="26"/>
      <c r="F19" s="26"/>
      <c r="G19" s="26"/>
      <c r="H19" s="26"/>
      <c r="I19" s="26"/>
      <c r="J19" s="26"/>
      <c r="K19" s="26"/>
      <c r="L19" s="26"/>
      <c r="M19" s="26"/>
      <c r="N19" s="26"/>
      <c r="O19" s="26"/>
      <c r="P19" s="26"/>
      <c r="Q19" s="26"/>
    </row>
    <row r="20" spans="2:17" x14ac:dyDescent="0.3">
      <c r="B20" s="26"/>
      <c r="C20" s="26"/>
      <c r="D20" s="26"/>
      <c r="E20" s="26"/>
      <c r="F20" s="26"/>
      <c r="G20" s="26"/>
      <c r="H20" s="26"/>
      <c r="I20" s="26"/>
      <c r="J20" s="26"/>
      <c r="K20" s="26"/>
      <c r="L20" s="26"/>
      <c r="M20" s="26"/>
      <c r="N20" s="26"/>
      <c r="O20" s="26"/>
      <c r="P20" s="26"/>
      <c r="Q20" s="26"/>
    </row>
    <row r="21" spans="2:17" x14ac:dyDescent="0.3">
      <c r="B21" s="26"/>
      <c r="C21" s="26"/>
      <c r="D21" s="26"/>
      <c r="E21" s="26"/>
      <c r="F21" s="26"/>
      <c r="G21" s="26"/>
      <c r="H21" s="26"/>
      <c r="I21" s="26"/>
      <c r="J21" s="26"/>
      <c r="K21" s="26"/>
      <c r="L21" s="26"/>
      <c r="M21" s="26"/>
      <c r="N21" s="26"/>
      <c r="O21" s="26"/>
      <c r="P21" s="26"/>
      <c r="Q21" s="26"/>
    </row>
    <row r="22" spans="2:17" x14ac:dyDescent="0.3">
      <c r="B22" s="26"/>
      <c r="C22" s="26"/>
      <c r="D22" s="26"/>
      <c r="E22" s="26"/>
      <c r="F22" s="26"/>
      <c r="G22" s="26"/>
      <c r="H22" s="26"/>
      <c r="I22" s="26"/>
      <c r="J22" s="26"/>
      <c r="K22" s="26"/>
      <c r="L22" s="26"/>
      <c r="M22" s="26"/>
      <c r="N22" s="26"/>
      <c r="O22" s="26"/>
      <c r="P22" s="26"/>
      <c r="Q22" s="26"/>
    </row>
    <row r="23" spans="2:17" x14ac:dyDescent="0.3">
      <c r="B23" s="26"/>
      <c r="C23" s="26"/>
      <c r="D23" s="26"/>
      <c r="E23" s="26"/>
      <c r="F23" s="26"/>
      <c r="G23" s="26"/>
      <c r="H23" s="26"/>
      <c r="I23" s="26"/>
      <c r="J23" s="26"/>
      <c r="K23" s="26"/>
      <c r="L23" s="26"/>
      <c r="M23" s="26"/>
      <c r="N23" s="26"/>
      <c r="O23" s="26"/>
      <c r="P23" s="26"/>
      <c r="Q23" s="26"/>
    </row>
    <row r="24" spans="2:17" x14ac:dyDescent="0.3">
      <c r="B24" s="26"/>
      <c r="C24" s="26"/>
      <c r="D24" s="26"/>
      <c r="E24" s="26"/>
      <c r="F24" s="26"/>
      <c r="G24" s="26"/>
      <c r="H24" s="26"/>
      <c r="I24" s="26"/>
      <c r="J24" s="26"/>
      <c r="K24" s="26"/>
      <c r="L24" s="26"/>
      <c r="M24" s="26"/>
      <c r="N24" s="26"/>
      <c r="O24" s="26"/>
      <c r="P24" s="26"/>
      <c r="Q24" s="26"/>
    </row>
    <row r="25" spans="2:17" x14ac:dyDescent="0.3">
      <c r="B25" s="26"/>
      <c r="C25" s="26"/>
      <c r="D25" s="26"/>
      <c r="E25" s="26"/>
      <c r="F25" s="26"/>
      <c r="G25" s="26"/>
      <c r="H25" s="26"/>
      <c r="I25" s="26"/>
      <c r="J25" s="26"/>
      <c r="K25" s="26"/>
      <c r="L25" s="26"/>
      <c r="M25" s="26"/>
      <c r="N25" s="26"/>
      <c r="O25" s="26"/>
      <c r="P25" s="26"/>
      <c r="Q25" s="26"/>
    </row>
    <row r="26" spans="2:17" x14ac:dyDescent="0.3">
      <c r="B26" s="26"/>
      <c r="C26" s="26"/>
      <c r="D26" s="26"/>
      <c r="E26" s="26"/>
      <c r="F26" s="26"/>
      <c r="G26" s="26"/>
      <c r="H26" s="26"/>
      <c r="I26" s="26"/>
      <c r="J26" s="26"/>
      <c r="K26" s="26"/>
      <c r="L26" s="26"/>
      <c r="M26" s="26"/>
      <c r="N26" s="26"/>
      <c r="O26" s="26"/>
      <c r="P26" s="26"/>
      <c r="Q26" s="26"/>
    </row>
    <row r="27" spans="2:17" x14ac:dyDescent="0.3">
      <c r="B27" s="26"/>
      <c r="C27" s="26"/>
      <c r="D27" s="26"/>
      <c r="E27" s="26"/>
      <c r="F27" s="26"/>
      <c r="G27" s="26"/>
      <c r="H27" s="26"/>
      <c r="I27" s="26"/>
      <c r="J27" s="26"/>
      <c r="K27" s="26"/>
      <c r="L27" s="26"/>
      <c r="M27" s="26"/>
      <c r="N27" s="26"/>
      <c r="O27" s="26"/>
      <c r="P27" s="26"/>
      <c r="Q27" s="26"/>
    </row>
    <row r="28" spans="2:17" x14ac:dyDescent="0.3">
      <c r="B28" s="26"/>
      <c r="C28" s="26"/>
      <c r="D28" s="26"/>
      <c r="E28" s="26"/>
      <c r="F28" s="26"/>
      <c r="G28" s="26"/>
      <c r="H28" s="26"/>
      <c r="I28" s="26"/>
      <c r="J28" s="26"/>
      <c r="K28" s="26"/>
      <c r="L28" s="26"/>
      <c r="M28" s="26"/>
      <c r="N28" s="26"/>
      <c r="O28" s="26"/>
      <c r="P28" s="26"/>
      <c r="Q28" s="26"/>
    </row>
    <row r="29" spans="2:17" x14ac:dyDescent="0.3">
      <c r="B29" s="26"/>
      <c r="C29" s="26"/>
      <c r="D29" s="26"/>
      <c r="E29" s="26"/>
      <c r="F29" s="26"/>
      <c r="G29" s="26"/>
      <c r="H29" s="26"/>
      <c r="I29" s="26"/>
      <c r="J29" s="26"/>
      <c r="K29" s="26"/>
      <c r="L29" s="26"/>
      <c r="M29" s="26"/>
      <c r="N29" s="26"/>
      <c r="O29" s="26"/>
      <c r="P29" s="26"/>
      <c r="Q29" s="26"/>
    </row>
    <row r="30" spans="2:17" x14ac:dyDescent="0.3">
      <c r="B30" s="26"/>
      <c r="C30" s="26"/>
      <c r="D30" s="26"/>
      <c r="E30" s="26"/>
      <c r="F30" s="26"/>
      <c r="G30" s="26"/>
      <c r="H30" s="26"/>
      <c r="I30" s="26"/>
      <c r="J30" s="26"/>
      <c r="K30" s="26"/>
      <c r="L30" s="26"/>
      <c r="M30" s="26"/>
      <c r="N30" s="26"/>
      <c r="O30" s="26"/>
      <c r="P30" s="26"/>
      <c r="Q30" s="26"/>
    </row>
    <row r="31" spans="2:17" x14ac:dyDescent="0.3">
      <c r="B31" s="26"/>
      <c r="C31" s="26"/>
      <c r="D31" s="26"/>
      <c r="E31" s="26"/>
      <c r="F31" s="26"/>
      <c r="G31" s="26"/>
      <c r="H31" s="26"/>
      <c r="I31" s="26"/>
      <c r="J31" s="26"/>
      <c r="K31" s="26"/>
      <c r="L31" s="26"/>
      <c r="M31" s="26"/>
      <c r="N31" s="26"/>
      <c r="O31" s="26"/>
      <c r="P31" s="26"/>
      <c r="Q31" s="26"/>
    </row>
    <row r="32" spans="2:17"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2" bestFit="1" customWidth="1"/>
    <col min="2" max="2" width="18" style="22" customWidth="1"/>
    <col min="3" max="3" width="19.81640625" style="22" customWidth="1"/>
    <col min="4" max="4" width="11.453125" style="22" bestFit="1" customWidth="1"/>
    <col min="5" max="5" width="9.1796875" style="22" customWidth="1"/>
    <col min="6" max="16384" width="9.1796875" style="22"/>
  </cols>
  <sheetData>
    <row r="2" spans="1:19" ht="39" customHeight="1" x14ac:dyDescent="0.45">
      <c r="A2" s="279" t="str">
        <f>DEBT_AS_OF_DATE</f>
        <v>Державний та гарантований державою борг України
станом на 28.02.2025</v>
      </c>
      <c r="B2" s="280"/>
      <c r="C2" s="280"/>
      <c r="D2" s="280"/>
      <c r="E2" s="26"/>
      <c r="F2" s="26"/>
      <c r="G2" s="26"/>
      <c r="H2" s="26"/>
      <c r="I2" s="26"/>
      <c r="J2" s="26"/>
      <c r="K2" s="26"/>
      <c r="L2" s="26"/>
      <c r="M2" s="26"/>
      <c r="N2" s="26"/>
      <c r="O2" s="26"/>
      <c r="P2" s="26"/>
      <c r="Q2" s="26"/>
      <c r="R2" s="26"/>
      <c r="S2" s="26"/>
    </row>
    <row r="3" spans="1:19" ht="18.5" x14ac:dyDescent="0.45">
      <c r="A3" s="282" t="str">
        <f>BY_INTEREST_RATE</f>
        <v>(за видами відсоткових ставок)</v>
      </c>
      <c r="B3" s="282"/>
      <c r="C3" s="282"/>
      <c r="D3" s="282"/>
    </row>
    <row r="4" spans="1:19" x14ac:dyDescent="0.3">
      <c r="B4" s="26"/>
      <c r="C4" s="26"/>
      <c r="D4" s="26"/>
      <c r="E4" s="26"/>
      <c r="F4" s="26"/>
      <c r="G4" s="26"/>
      <c r="H4" s="26"/>
      <c r="I4" s="26"/>
      <c r="J4" s="26"/>
      <c r="K4" s="26"/>
      <c r="L4" s="26"/>
      <c r="M4" s="26"/>
      <c r="N4" s="26"/>
      <c r="O4" s="26"/>
      <c r="P4" s="26"/>
      <c r="Q4" s="26"/>
    </row>
    <row r="5" spans="1:19" s="27" customFormat="1" x14ac:dyDescent="0.3">
      <c r="D5" s="27" t="str">
        <f>VALVAL</f>
        <v>млрд. одиниць</v>
      </c>
    </row>
    <row r="6" spans="1:19" s="14" customFormat="1" x14ac:dyDescent="0.25">
      <c r="A6" s="60"/>
      <c r="B6" s="143" t="str">
        <f>USD</f>
        <v>дол.США</v>
      </c>
      <c r="C6" s="143" t="str">
        <f>UAH</f>
        <v>грн.</v>
      </c>
      <c r="D6" s="57" t="s">
        <v>0</v>
      </c>
    </row>
    <row r="7" spans="1:19" s="130" customFormat="1" ht="15.5" x14ac:dyDescent="0.25">
      <c r="A7" s="142" t="str">
        <f>DEBT_TOTAL</f>
        <v>Загальна сума державного та гарантованого державою боргу</v>
      </c>
      <c r="B7" s="119">
        <f>SUM(B$8+ B$9)</f>
        <v>169.08837600780001</v>
      </c>
      <c r="C7" s="119">
        <f>SUM(C$8+ C$9)</f>
        <v>7019.5348415889603</v>
      </c>
      <c r="D7" s="120">
        <f>SUM(D$8+ D$9)</f>
        <v>1</v>
      </c>
    </row>
    <row r="8" spans="1:19" s="38" customFormat="1" ht="14" x14ac:dyDescent="0.25">
      <c r="A8" s="64" t="str">
        <f>SRATE_M!A7</f>
        <v>Борг, по якому сплата відсотків здійснюється за плаваючими процентними ставками</v>
      </c>
      <c r="B8" s="65">
        <f>SRATE_M!B7</f>
        <v>57.34619687683</v>
      </c>
      <c r="C8" s="65">
        <f>SRATE_M!C7</f>
        <v>2380.67001714239</v>
      </c>
      <c r="D8" s="66">
        <f>SRATE_M!D7</f>
        <v>0.33914899999999998</v>
      </c>
    </row>
    <row r="9" spans="1:19" s="38" customFormat="1" ht="14" x14ac:dyDescent="0.25">
      <c r="A9" s="64" t="str">
        <f>SRATE_M!A8</f>
        <v>Борг, по якому сплата відсотків здійснюється за фіксованими процентними ставками</v>
      </c>
      <c r="B9" s="65">
        <f>SRATE_M!B8</f>
        <v>111.74217913097</v>
      </c>
      <c r="C9" s="65">
        <f>SRATE_M!C8</f>
        <v>4638.8648244465703</v>
      </c>
      <c r="D9" s="66">
        <f>SRATE_M!D8</f>
        <v>0.66085099999999997</v>
      </c>
    </row>
    <row r="10" spans="1:19" x14ac:dyDescent="0.3">
      <c r="B10" s="26"/>
      <c r="C10" s="26"/>
      <c r="D10" s="26"/>
      <c r="E10" s="26"/>
      <c r="F10" s="26"/>
      <c r="G10" s="26"/>
      <c r="H10" s="26"/>
      <c r="I10" s="26"/>
      <c r="J10" s="26"/>
      <c r="K10" s="26"/>
      <c r="L10" s="26"/>
      <c r="M10" s="26"/>
      <c r="N10" s="26"/>
      <c r="O10" s="26"/>
      <c r="P10" s="26"/>
      <c r="Q10" s="26"/>
    </row>
    <row r="11" spans="1:19" x14ac:dyDescent="0.3">
      <c r="A11" s="40" t="str">
        <f>INCLUDING</f>
        <v>В тому числі:</v>
      </c>
      <c r="B11" s="26"/>
      <c r="C11" s="26"/>
      <c r="D11" s="26"/>
      <c r="E11" s="26"/>
      <c r="F11" s="26"/>
      <c r="G11" s="26"/>
      <c r="H11" s="26"/>
      <c r="I11" s="26"/>
      <c r="J11" s="26"/>
      <c r="K11" s="26"/>
      <c r="L11" s="26"/>
      <c r="M11" s="26"/>
      <c r="N11" s="26"/>
      <c r="O11" s="26"/>
      <c r="P11" s="26"/>
      <c r="Q11" s="26"/>
    </row>
    <row r="12" spans="1:19" x14ac:dyDescent="0.3">
      <c r="B12" s="26"/>
      <c r="C12" s="26"/>
      <c r="D12" s="27" t="str">
        <f>VALVAL</f>
        <v>млрд. одиниць</v>
      </c>
      <c r="E12" s="26"/>
      <c r="F12" s="26"/>
      <c r="G12" s="26"/>
      <c r="H12" s="26"/>
      <c r="I12" s="26"/>
      <c r="J12" s="26"/>
      <c r="K12" s="26"/>
      <c r="L12" s="26"/>
      <c r="M12" s="26"/>
      <c r="N12" s="26"/>
      <c r="O12" s="26"/>
      <c r="P12" s="26"/>
      <c r="Q12" s="26"/>
    </row>
    <row r="13" spans="1:19" s="34" customFormat="1" x14ac:dyDescent="0.3">
      <c r="A13" s="12"/>
      <c r="B13" s="143" t="str">
        <f>USD</f>
        <v>дол.США</v>
      </c>
      <c r="C13" s="143" t="str">
        <f>UAH</f>
        <v>грн.</v>
      </c>
      <c r="D13" s="57" t="s">
        <v>0</v>
      </c>
      <c r="E13" s="14"/>
      <c r="F13" s="14"/>
      <c r="G13" s="14"/>
      <c r="H13" s="14"/>
      <c r="I13" s="14"/>
      <c r="J13" s="14"/>
      <c r="K13" s="14"/>
      <c r="L13" s="14"/>
      <c r="M13" s="14"/>
      <c r="N13" s="14"/>
      <c r="O13" s="14"/>
      <c r="P13" s="14"/>
      <c r="Q13" s="14"/>
      <c r="R13" s="14"/>
      <c r="S13" s="14"/>
    </row>
    <row r="14" spans="1:19" s="134" customFormat="1" ht="14.5" x14ac:dyDescent="0.35">
      <c r="A14" s="151" t="str">
        <f>DEBT_TOTAL</f>
        <v>Загальна сума державного та гарантованого державою боргу</v>
      </c>
      <c r="B14" s="131">
        <f>B$18+B$15</f>
        <v>169.08837600779998</v>
      </c>
      <c r="C14" s="131">
        <f>C$18+C$15</f>
        <v>7019.5348415889603</v>
      </c>
      <c r="D14" s="132">
        <f>D$18+D$15</f>
        <v>1</v>
      </c>
      <c r="E14" s="133"/>
      <c r="F14" s="133"/>
      <c r="G14" s="133"/>
      <c r="H14" s="133"/>
      <c r="I14" s="133"/>
      <c r="J14" s="133"/>
      <c r="K14" s="133"/>
      <c r="L14" s="133"/>
      <c r="M14" s="133"/>
      <c r="N14" s="133"/>
      <c r="O14" s="133"/>
      <c r="P14" s="133"/>
      <c r="Q14" s="133"/>
    </row>
    <row r="15" spans="1:19" s="62" customFormat="1" ht="14.5" outlineLevel="1" x14ac:dyDescent="0.35">
      <c r="A15" s="242" t="s">
        <v>1</v>
      </c>
      <c r="B15" s="243">
        <f>SUM(B$16:B$17)</f>
        <v>162.35879084801999</v>
      </c>
      <c r="C15" s="243">
        <f>SUM(C$16:C$17)</f>
        <v>6740.16284326606</v>
      </c>
      <c r="D15" s="244">
        <f>SUM(D$16:D$17)</f>
        <v>0.96020099999999997</v>
      </c>
      <c r="E15" s="61"/>
      <c r="F15" s="61"/>
      <c r="G15" s="61"/>
      <c r="H15" s="61"/>
      <c r="I15" s="61"/>
      <c r="J15" s="61"/>
      <c r="K15" s="61"/>
      <c r="L15" s="61"/>
      <c r="M15" s="61"/>
      <c r="N15" s="61"/>
      <c r="O15" s="61"/>
      <c r="P15" s="61"/>
      <c r="Q15" s="61"/>
    </row>
    <row r="16" spans="1:19" s="40" customFormat="1" outlineLevel="2" x14ac:dyDescent="0.3">
      <c r="A16" s="245" t="s">
        <v>176</v>
      </c>
      <c r="B16" s="161">
        <v>52.90784264317</v>
      </c>
      <c r="C16" s="161">
        <v>2196.4161794864299</v>
      </c>
      <c r="D16" s="164">
        <v>0.31290099999999998</v>
      </c>
      <c r="E16" s="39"/>
      <c r="F16" s="39"/>
      <c r="G16" s="39"/>
      <c r="H16" s="39"/>
      <c r="I16" s="39"/>
      <c r="J16" s="39"/>
      <c r="K16" s="39"/>
      <c r="L16" s="39"/>
      <c r="M16" s="39"/>
      <c r="N16" s="39"/>
      <c r="O16" s="39"/>
      <c r="P16" s="39"/>
      <c r="Q16" s="39"/>
    </row>
    <row r="17" spans="1:17" s="40" customFormat="1" outlineLevel="2" x14ac:dyDescent="0.3">
      <c r="A17" s="245" t="s">
        <v>177</v>
      </c>
      <c r="B17" s="161">
        <v>109.45094820484999</v>
      </c>
      <c r="C17" s="161">
        <v>4543.7466637796297</v>
      </c>
      <c r="D17" s="164">
        <v>0.64729999999999999</v>
      </c>
      <c r="E17" s="39"/>
      <c r="F17" s="39"/>
      <c r="G17" s="39"/>
      <c r="H17" s="39"/>
      <c r="I17" s="39"/>
      <c r="J17" s="39"/>
      <c r="K17" s="39"/>
      <c r="L17" s="39"/>
      <c r="M17" s="39"/>
      <c r="N17" s="39"/>
      <c r="O17" s="39"/>
      <c r="P17" s="39"/>
      <c r="Q17" s="39"/>
    </row>
    <row r="18" spans="1:17" s="62" customFormat="1" ht="14.5" outlineLevel="1" x14ac:dyDescent="0.35">
      <c r="A18" s="242" t="s">
        <v>2</v>
      </c>
      <c r="B18" s="243">
        <f>SUM(B$19:B$20)</f>
        <v>6.72958515978</v>
      </c>
      <c r="C18" s="243">
        <f>SUM(C$19:C$20)</f>
        <v>279.37199832290003</v>
      </c>
      <c r="D18" s="244">
        <f>SUM(D$19:D$20)</f>
        <v>3.9799000000000001E-2</v>
      </c>
      <c r="E18" s="61"/>
      <c r="F18" s="61"/>
      <c r="G18" s="61"/>
      <c r="H18" s="61"/>
      <c r="I18" s="61"/>
      <c r="J18" s="61"/>
      <c r="K18" s="61"/>
      <c r="L18" s="61"/>
      <c r="M18" s="61"/>
      <c r="N18" s="61"/>
      <c r="O18" s="61"/>
      <c r="P18" s="61"/>
      <c r="Q18" s="61"/>
    </row>
    <row r="19" spans="1:17" s="40" customFormat="1" outlineLevel="2" x14ac:dyDescent="0.3">
      <c r="A19" s="245" t="s">
        <v>176</v>
      </c>
      <c r="B19" s="161">
        <v>4.4383542336600001</v>
      </c>
      <c r="C19" s="161">
        <v>184.25383765596001</v>
      </c>
      <c r="D19" s="164">
        <v>2.6249000000000001E-2</v>
      </c>
      <c r="E19" s="39"/>
      <c r="F19" s="39"/>
      <c r="G19" s="39"/>
      <c r="H19" s="39"/>
      <c r="I19" s="39"/>
      <c r="J19" s="39"/>
      <c r="K19" s="39"/>
      <c r="L19" s="39"/>
      <c r="M19" s="39"/>
      <c r="N19" s="39"/>
      <c r="O19" s="39"/>
      <c r="P19" s="39"/>
      <c r="Q19" s="39"/>
    </row>
    <row r="20" spans="1:17" s="40" customFormat="1" outlineLevel="2" x14ac:dyDescent="0.3">
      <c r="A20" s="245" t="s">
        <v>177</v>
      </c>
      <c r="B20" s="161">
        <v>2.2912309261199999</v>
      </c>
      <c r="C20" s="161">
        <v>95.11816066694</v>
      </c>
      <c r="D20" s="164">
        <v>1.355E-2</v>
      </c>
      <c r="E20" s="39"/>
      <c r="F20" s="39"/>
      <c r="G20" s="39"/>
      <c r="H20" s="39"/>
      <c r="I20" s="39"/>
      <c r="J20" s="39"/>
      <c r="K20" s="39"/>
      <c r="L20" s="39"/>
      <c r="M20" s="39"/>
      <c r="N20" s="39"/>
      <c r="O20" s="39"/>
      <c r="P20" s="39"/>
      <c r="Q20" s="39"/>
    </row>
    <row r="21" spans="1:17" x14ac:dyDescent="0.3">
      <c r="B21" s="25"/>
      <c r="C21" s="25"/>
      <c r="D21" s="63"/>
      <c r="E21" s="26"/>
      <c r="F21" s="26"/>
      <c r="G21" s="26"/>
      <c r="H21" s="26"/>
      <c r="I21" s="26"/>
      <c r="J21" s="26"/>
      <c r="K21" s="26"/>
      <c r="L21" s="26"/>
      <c r="M21" s="26"/>
      <c r="N21" s="26"/>
      <c r="O21" s="26"/>
      <c r="P21" s="26"/>
      <c r="Q21" s="26"/>
    </row>
    <row r="22" spans="1:17" x14ac:dyDescent="0.3">
      <c r="B22" s="25"/>
      <c r="C22" s="25"/>
      <c r="D22" s="63"/>
      <c r="E22" s="26"/>
      <c r="F22" s="26"/>
      <c r="G22" s="26"/>
      <c r="H22" s="26"/>
      <c r="I22" s="26"/>
      <c r="J22" s="26"/>
      <c r="K22" s="26"/>
      <c r="L22" s="26"/>
      <c r="M22" s="26"/>
      <c r="N22" s="26"/>
      <c r="O22" s="26"/>
      <c r="P22" s="26"/>
      <c r="Q22" s="26"/>
    </row>
    <row r="23" spans="1:17" x14ac:dyDescent="0.3">
      <c r="B23" s="25"/>
      <c r="C23" s="25"/>
      <c r="D23" s="63"/>
      <c r="E23" s="26"/>
      <c r="F23" s="26"/>
      <c r="G23" s="26"/>
      <c r="H23" s="26"/>
      <c r="I23" s="26"/>
      <c r="J23" s="26"/>
      <c r="K23" s="26"/>
      <c r="L23" s="26"/>
      <c r="M23" s="26"/>
      <c r="N23" s="26"/>
      <c r="O23" s="26"/>
      <c r="P23" s="26"/>
      <c r="Q23" s="26"/>
    </row>
    <row r="24" spans="1:17" x14ac:dyDescent="0.3">
      <c r="B24" s="25"/>
      <c r="C24" s="25"/>
      <c r="D24" s="63"/>
      <c r="E24" s="26"/>
      <c r="F24" s="26"/>
      <c r="G24" s="26"/>
      <c r="H24" s="26"/>
      <c r="I24" s="26"/>
      <c r="J24" s="26"/>
      <c r="K24" s="26"/>
      <c r="L24" s="26"/>
      <c r="M24" s="26"/>
      <c r="N24" s="26"/>
      <c r="O24" s="26"/>
      <c r="P24" s="26"/>
      <c r="Q24" s="26"/>
    </row>
    <row r="25" spans="1:17" x14ac:dyDescent="0.3">
      <c r="B25" s="25"/>
      <c r="C25" s="25"/>
      <c r="D25" s="63"/>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row r="248" spans="2:17" x14ac:dyDescent="0.3">
      <c r="B248" s="26"/>
      <c r="C248" s="26"/>
      <c r="D248" s="26"/>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2025-03-25T09:13:42Z</cp:lastPrinted>
  <dcterms:created xsi:type="dcterms:W3CDTF">2006-12-14T15:58:30Z</dcterms:created>
  <dcterms:modified xsi:type="dcterms:W3CDTF">2025-03-25T13:56:04Z</dcterms:modified>
</cp:coreProperties>
</file>