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23.xml" ContentType="application/vnd.openxmlformats-officedocument.spreadsheetml.worksheet+xml"/>
  <Override PartName="/xl/chartsheets/sheet18.xml" ContentType="application/vnd.openxmlformats-officedocument.spreadsheetml.chartsheet+xml"/>
  <Override PartName="/xl/chartsheets/sheet19.xml" ContentType="application/vnd.openxmlformats-officedocument.spreadsheetml.chartsheet+xml"/>
  <Override PartName="/xl/worksheets/sheet24.xml" ContentType="application/vnd.openxmlformats-officedocument.spreadsheetml.worksheet+xml"/>
  <Override PartName="/xl/chartsheets/sheet20.xml" ContentType="application/vnd.openxmlformats-officedocument.spreadsheetml.chartsheet+xml"/>
  <Override PartName="/xl/chartsheets/sheet21.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22.xml" ContentType="application/vnd.openxmlformats-officedocument.spreadsheetml.chartsheet+xml"/>
  <Override PartName="/xl/worksheets/sheet29.xml" ContentType="application/vnd.openxmlformats-officedocument.spreadsheetml.worksheet+xml"/>
  <Override PartName="/xl/chartsheets/sheet23.xml" ContentType="application/vnd.openxmlformats-officedocument.spreadsheetml.chartsheet+xml"/>
  <Override PartName="/xl/worksheets/sheet30.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28800" windowHeight="11700" tabRatio="917" firstSheet="6" activeTab="48"/>
  </bookViews>
  <sheets>
    <sheet name="MK_UAHD" sheetId="37" state="hidden" r:id="rId1"/>
    <sheet name="MK_USDD" sheetId="36" state="hidden" r:id="rId2"/>
    <sheet name="K_ALLD" sheetId="39" state="hidden" r:id="rId3"/>
    <sheet name="T_ALLD" sheetId="40" state="hidden" r:id="rId4"/>
    <sheet name="MTK2_UAH" sheetId="4" state="hidden" r:id="rId5"/>
    <sheet name="MTK2_USD" sheetId="1" state="hidden" r:id="rId6"/>
    <sheet name="MKT2_UAH" sheetId="21" r:id="rId7"/>
    <sheet name="MKT2_USD" sheetId="22" r:id="rId8"/>
    <sheet name="MT_UAHD" sheetId="10" state="hidden" r:id="rId9"/>
    <sheet name="MT_USDD" sheetId="9" state="hidden" r:id="rId10"/>
    <sheet name="MT_ALL" sheetId="8" state="hidden" r:id="rId11"/>
    <sheet name="MTM_ALL" sheetId="61" state="hidden" r:id="rId12"/>
    <sheet name="MK_ALL" sheetId="19" state="hidden" r:id="rId13"/>
    <sheet name="SRATED" sheetId="53" state="hidden" r:id="rId14"/>
    <sheet name="RATED" sheetId="33" state="hidden" r:id="rId15"/>
    <sheet name="RATEDS" sheetId="62" state="hidden" r:id="rId16"/>
    <sheet name="SRATE_M" sheetId="47" state="hidden" r:id="rId17"/>
    <sheet name="SRATE" sheetId="43" state="hidden" r:id="rId18"/>
    <sheet name="RATE_M" sheetId="46" r:id="rId19"/>
    <sheet name="RATE" sheetId="12" r:id="rId20"/>
    <sheet name="RATE_CMP" sheetId="13" state="hidden" r:id="rId21"/>
    <sheet name="CURD" sheetId="11" state="hidden" r:id="rId22"/>
    <sheet name="CURDS" sheetId="63" state="hidden" r:id="rId23"/>
    <sheet name="CUR_M" sheetId="44" r:id="rId24"/>
    <sheet name="CUR" sheetId="6" r:id="rId25"/>
    <sheet name="CUR_CMP" sheetId="3" state="hidden" r:id="rId26"/>
    <sheet name="CUR_M_EXT" sheetId="45" state="hidden" r:id="rId27"/>
    <sheet name="CUR_CMP_EXT" sheetId="42" state="hidden" r:id="rId28"/>
    <sheet name="DKT1" sheetId="17" state="hidden" r:id="rId29"/>
    <sheet name="DKT2" sheetId="14" r:id="rId30"/>
    <sheet name="DTK2" sheetId="16" r:id="rId31"/>
    <sheet name="DKRD" sheetId="35" state="hidden" r:id="rId32"/>
    <sheet name="DKR2DSTATE" sheetId="66" state="hidden" r:id="rId33"/>
    <sheet name="DKR2DGUAR" sheetId="67" state="hidden" r:id="rId34"/>
    <sheet name="DKR" sheetId="18" state="hidden" r:id="rId35"/>
    <sheet name="DKR2" sheetId="65" state="hidden" r:id="rId36"/>
    <sheet name="YT_ALL_USD_D" sheetId="51" state="hidden" r:id="rId37"/>
    <sheet name="YT_ALL_UAH_D" sheetId="60" state="hidden" r:id="rId38"/>
    <sheet name="YT_ALL_PER_D" sheetId="52" state="hidden" r:id="rId39"/>
    <sheet name="YT_ALL" sheetId="32" state="hidden" r:id="rId40"/>
    <sheet name="YTM_ALL_UAH_D" sheetId="48" state="hidden" r:id="rId41"/>
    <sheet name="YTM_ALL_USD_D" sheetId="50" state="hidden" r:id="rId42"/>
    <sheet name="YTM_ALL" sheetId="49" state="hidden" r:id="rId43"/>
    <sheet name="YKM_ALL_UAH_D" sheetId="71" state="hidden" r:id="rId44"/>
    <sheet name="YKM_ALL_USD_D" sheetId="70" state="hidden" r:id="rId45"/>
    <sheet name="YKM_ALL" sheetId="69" state="hidden" r:id="rId46"/>
    <sheet name="YK_ALL" sheetId="68" state="hidden" r:id="rId47"/>
    <sheet name="YKT2_UAH" sheetId="30" r:id="rId48"/>
    <sheet name="YKT2_USD" sheetId="29" r:id="rId49"/>
    <sheet name="KINDD" sheetId="64" state="hidden" r:id="rId50"/>
    <sheet name="KIND_CMP" sheetId="26" state="hidden" r:id="rId51"/>
    <sheet name="DTRD" sheetId="34" state="hidden" r:id="rId52"/>
    <sheet name="DTR" sheetId="23" state="hidden" r:id="rId53"/>
    <sheet name="DEBT_TERM1" sheetId="57" state="hidden" r:id="rId54"/>
    <sheet name="DEBT_TERM2" sheetId="58" state="hidden" r:id="rId55"/>
    <sheet name="DEBT_TERM" sheetId="55" state="hidden" r:id="rId56"/>
    <sheet name="K_ALL" sheetId="15" state="hidden" r:id="rId57"/>
    <sheet name="T_ALL" sheetId="27" state="hidden" r:id="rId58"/>
    <sheet name="YKT2_PRC" sheetId="31" state="hidden" r:id="rId59"/>
    <sheet name="TBL1" sheetId="54" state="hidden" r:id="rId60"/>
    <sheet name="DATA" sheetId="59" state="hidden" r:id="rId61"/>
    <sheet name="AVGRATE_DETAIL" sheetId="41" state="hidden" r:id="rId62"/>
  </sheets>
  <definedNames>
    <definedName name="AMOUNT_OF_DEBT">DATA!$E$30</definedName>
    <definedName name="AVERAGE_CIRCULATION">DATA!$C$30</definedName>
    <definedName name="AVERAGE_RATE">DATA!$B$30</definedName>
    <definedName name="AVERAGE_TO_REPAYMENT">DATA!$D$30</definedName>
    <definedName name="AVGDTERM">DEBT_TERM!$A$8</definedName>
    <definedName name="BY_AVERAGE_TERM">DATA!$C$15</definedName>
    <definedName name="BY_CREDITOR_TYPE">DATA!$D$16</definedName>
    <definedName name="BY_INTEREST_RATE">DATA!$F$16</definedName>
    <definedName name="BY_REPAYMENT_CURR">DATA!$E$16</definedName>
    <definedName name="CHANGE_OF_STRUCTURE">DATA!$B$21</definedName>
    <definedName name="CK_05">'DKT2'!$A$7</definedName>
    <definedName name="CK_05C6">DKR!$A$11</definedName>
    <definedName name="CK_05G6">DKR!$A$7</definedName>
    <definedName name="CKMDUAH">MKT2_UAH!$A$6</definedName>
    <definedName name="CKMDUSD">MKT2_USD!$A$6</definedName>
    <definedName name="CKMPERC">MK_ALL!$A$18</definedName>
    <definedName name="CKMUAH">MK_ALL!$A$6</definedName>
    <definedName name="CKMUSD">MK_ALL!$A$12</definedName>
    <definedName name="CKPERC">MK_ALL!#REF!</definedName>
    <definedName name="CKUAH">MK_ALL!#REF!</definedName>
    <definedName name="CKUSD">MK_ALL!#REF!</definedName>
    <definedName name="CUR_CMP1">CUR_M_EXT!$A$7</definedName>
    <definedName name="CUR_CMPD4">CUR_M_EXT!$B$5</definedName>
    <definedName name="CUR_CMPD5">CUR_M_EXT!$H$5</definedName>
    <definedName name="CUR_CMPEXT">CUR_CMP_EXT!$A$7</definedName>
    <definedName name="CUR_CMPEXTD4">CUR_CMP_EXT!$B$5</definedName>
    <definedName name="CUR_CMPEXTD5">CUR_CMP_EXT!$H$5</definedName>
    <definedName name="CUR_CMPEXTKD4">CUR_CMP_EXT!$B$24</definedName>
    <definedName name="CUR_CMPEXTKD5">CUR_CMP_EXT!$H$24</definedName>
    <definedName name="CUR_CMPEXTKIND">CUR_CMP_EXT!$A$26</definedName>
    <definedName name="CUR_CMPS1">CUR_CMP!$A$8</definedName>
    <definedName name="CUR_CMPS1D4">CUR_CMP!$B$6</definedName>
    <definedName name="CUR_CMPS1D5">CUR_CMP!$E$6</definedName>
    <definedName name="CUR_CMPS2">CUR_CMP!$A$24</definedName>
    <definedName name="CUR_CMPS2D4">CUR_CMP!$B$22</definedName>
    <definedName name="CUR_CMPS2D5">CUR_CMP!$E$22</definedName>
    <definedName name="CURNAME">CUR_M!$A$7</definedName>
    <definedName name="CURNAMECUR">CUR!$A$7</definedName>
    <definedName name="CURNAMEKIND">CUR!$A$23</definedName>
    <definedName name="DDELIMER">DATA!$B$5</definedName>
    <definedName name="DEBT_AS_OF_CURR_YEAR">DATA!$B$27</definedName>
    <definedName name="DEBT_AS_OF_DATE">DATA!$B$16</definedName>
    <definedName name="DEBT_AS_OF_DATE_BY_AVARAGE_TERM">DATA!$C$16</definedName>
    <definedName name="DEBT_BY_CONVENTIONAKITY">DATA!$B$20</definedName>
    <definedName name="DEBT_BY_RATE_TYPE">DATA!$B$26</definedName>
    <definedName name="DEBT_BY_REPAYMENT">DATA!$B$17</definedName>
    <definedName name="DEBT_CURR_STRUCT">DATA!$B$22</definedName>
    <definedName name="DEBT_LAST_5_YEARS">DATA!$B$15</definedName>
    <definedName name="DEBT_LAST_5_YEARS_PERCENT">DATA!$F$15</definedName>
    <definedName name="DEBT_LAST_5_YEARS_UAH">DATA!$E$15</definedName>
    <definedName name="DEBT_LAST_5_YEARS_USD">DATA!$D$15</definedName>
    <definedName name="DEBT_STATE">DATA!$C$28</definedName>
    <definedName name="DEBT_TOTAL">DATA!$B$28</definedName>
    <definedName name="DKRGUAR">'DKR2'!#REF!</definedName>
    <definedName name="DKRSTATE">'DKR2'!$A$8</definedName>
    <definedName name="DKT">'DKT1'!$A$7</definedName>
    <definedName name="DMLMLR">DATA!$F$5</definedName>
    <definedName name="DREPORTDATE">DATA!$B$3</definedName>
    <definedName name="DRUN">DATA!$A$1</definedName>
    <definedName name="DSESSION">DATA!$B$6</definedName>
    <definedName name="DT_05">'DTK2'!$A$7</definedName>
    <definedName name="DTKYPERC">YK_ALL!$A$18</definedName>
    <definedName name="DTKYUAH">YK_ALL!$A$6</definedName>
    <definedName name="DTKYUSD">YK_ALL!$A$12</definedName>
    <definedName name="DTMDUAH">MTK2_UAH!$A$6</definedName>
    <definedName name="DTMDUSD">MTK2_USD!$A$6</definedName>
    <definedName name="DTMPERC">MT_ALL!$A$18</definedName>
    <definedName name="DTMUAH">MT_ALL!$A$6</definedName>
    <definedName name="DTMUSD">MT_ALL!$A$12</definedName>
    <definedName name="DTR">DTR!$A$6</definedName>
    <definedName name="DTYPERC" localSheetId="46">YK_ALL!$A$18</definedName>
    <definedName name="DTYPERC">YT_ALL!$A$18</definedName>
    <definedName name="DTYUAH" localSheetId="46">YK_ALL!$A$6</definedName>
    <definedName name="DTYUAH">YT_ALL!$A$6</definedName>
    <definedName name="DTYUSD" localSheetId="46">YK_ALL!$A$12</definedName>
    <definedName name="DTYUSD">YT_ALL!$A$12</definedName>
    <definedName name="EXCH_RATE_TO_UAH">DATA!$B$25</definedName>
    <definedName name="EXCH_RATE_TO_USD">DATA!$B$24</definedName>
    <definedName name="EXTENDED">DATA!$C$22</definedName>
    <definedName name="INCLUDING">DATA!$B$29</definedName>
    <definedName name="KINDCMP">KIND_CMP!$A$7</definedName>
    <definedName name="KINDKMPD4">KIND_CMP!$B$5</definedName>
    <definedName name="KINDKMPD5">KIND_CMP!$E$5</definedName>
    <definedName name="ORIGINAL">DATA!$B$23</definedName>
    <definedName name="R0">#REF!</definedName>
    <definedName name="RATEGROUPKIND">SRATE!$A$14</definedName>
    <definedName name="RATEKIND">SRATE_M!$A$6</definedName>
    <definedName name="RATENAMEALL">RATE_M!$A$7</definedName>
    <definedName name="RATENAMESTRUCT1">RATE!$A$7</definedName>
    <definedName name="RATENAMESTRUCT2">RATE!$A$22</definedName>
    <definedName name="RATENAMESTRUCTCMP">RATE_CMP!$A$7</definedName>
    <definedName name="RATENAMESTRUCTCMP2">RATE_CMP!$A$20</definedName>
    <definedName name="RCMP2D4">RATE_CMP!$B$18</definedName>
    <definedName name="RCMP2D5">RATE_CMP!$E$18</definedName>
    <definedName name="RCMPD4">RATE_CMP!$B$5</definedName>
    <definedName name="RCMPD5">RATE_CMP!$E$5</definedName>
    <definedName name="REPORT_LANG">DATA!$A$10</definedName>
    <definedName name="REPORT_REGIME">DATA!$A$9</definedName>
    <definedName name="SRATED">SRATE!$A$7</definedName>
    <definedName name="STRMAXDATE">DATA!$B$4</definedName>
    <definedName name="STRPRESENTDATE">DATA!$C$3</definedName>
    <definedName name="UAH">DATA!$B$19</definedName>
    <definedName name="USD">DATA!$B$18</definedName>
    <definedName name="VALUAH">DATA!$D$5</definedName>
    <definedName name="VALUSD">DATA!$C$5</definedName>
    <definedName name="VALVAL">DATA!$E$5</definedName>
    <definedName name="YKT2UAH">YKT2_UAH!$A$6</definedName>
    <definedName name="YKT2USD">YKT2_USD!$A$6</definedName>
    <definedName name="YKT2UФР">YKT2_UAH!$A$6</definedName>
  </definedNames>
  <calcPr calcId="162913"/>
</workbook>
</file>

<file path=xl/calcChain.xml><?xml version="1.0" encoding="utf-8"?>
<calcChain xmlns="http://schemas.openxmlformats.org/spreadsheetml/2006/main">
  <c r="E30" i="59" l="1"/>
  <c r="D30" i="59"/>
  <c r="D8" i="55"/>
  <c r="C30" i="59"/>
  <c r="C8" i="55"/>
  <c r="B30" i="59"/>
  <c r="B8" i="55"/>
  <c r="B29" i="59"/>
  <c r="C28" i="59"/>
  <c r="B28" i="59"/>
  <c r="B27" i="59"/>
  <c r="B26" i="59"/>
  <c r="B25" i="59"/>
  <c r="B24" i="59"/>
  <c r="B23" i="59"/>
  <c r="C22" i="59"/>
  <c r="B22" i="59"/>
  <c r="B21" i="59"/>
  <c r="H19" i="13"/>
  <c r="B20" i="59"/>
  <c r="A2" i="26"/>
  <c r="B19" i="59"/>
  <c r="B18" i="59"/>
  <c r="B17" i="59"/>
  <c r="A2" i="23"/>
  <c r="F16" i="59"/>
  <c r="E16" i="59"/>
  <c r="D16" i="59"/>
  <c r="C16" i="59"/>
  <c r="B16" i="59"/>
  <c r="F15" i="59"/>
  <c r="C15" i="59"/>
  <c r="A4" i="55"/>
  <c r="B15" i="59"/>
  <c r="E8" i="59"/>
  <c r="D8" i="59"/>
  <c r="C8" i="59"/>
  <c r="E7" i="59"/>
  <c r="D7" i="59"/>
  <c r="C7" i="59"/>
  <c r="G5" i="59"/>
  <c r="F5" i="59"/>
  <c r="E5" i="59"/>
  <c r="D5" i="59"/>
  <c r="C5" i="59"/>
  <c r="A2" i="31"/>
  <c r="J61" i="55"/>
  <c r="J60" i="55"/>
  <c r="J59" i="55"/>
  <c r="J58" i="55"/>
  <c r="J57" i="55"/>
  <c r="J56" i="55"/>
  <c r="J55" i="55"/>
  <c r="J54" i="55"/>
  <c r="J53" i="55"/>
  <c r="I53" i="55"/>
  <c r="J52" i="55"/>
  <c r="I52" i="55"/>
  <c r="J51" i="55"/>
  <c r="I51" i="55"/>
  <c r="J50" i="55"/>
  <c r="I50" i="55"/>
  <c r="J49" i="55"/>
  <c r="I49" i="55"/>
  <c r="J48" i="55"/>
  <c r="I48" i="55"/>
  <c r="J47" i="55"/>
  <c r="I47" i="55"/>
  <c r="J46" i="55"/>
  <c r="I46" i="55"/>
  <c r="J45" i="55"/>
  <c r="I45" i="55"/>
  <c r="J44" i="55"/>
  <c r="I44" i="55"/>
  <c r="J43" i="55"/>
  <c r="I43" i="55"/>
  <c r="J42" i="55"/>
  <c r="I42" i="55"/>
  <c r="J41" i="55"/>
  <c r="I41" i="55"/>
  <c r="J40" i="55"/>
  <c r="I40" i="55"/>
  <c r="J39" i="55"/>
  <c r="I39" i="55"/>
  <c r="J38" i="55"/>
  <c r="I38" i="55"/>
  <c r="J37" i="55"/>
  <c r="I37" i="55"/>
  <c r="J36" i="55"/>
  <c r="I36" i="55"/>
  <c r="J35" i="55"/>
  <c r="I35" i="55"/>
  <c r="J34" i="55"/>
  <c r="I34" i="55"/>
  <c r="J33" i="55"/>
  <c r="I33" i="55"/>
  <c r="J32" i="55"/>
  <c r="I32" i="55"/>
  <c r="J31" i="55"/>
  <c r="I31" i="55"/>
  <c r="J30" i="55"/>
  <c r="I30" i="55"/>
  <c r="J29" i="55"/>
  <c r="I29" i="55"/>
  <c r="J28" i="55"/>
  <c r="I28" i="55"/>
  <c r="J27" i="55"/>
  <c r="I27" i="55"/>
  <c r="J26" i="55"/>
  <c r="I26" i="55"/>
  <c r="J25" i="55"/>
  <c r="I25" i="55"/>
  <c r="J24" i="55"/>
  <c r="I24" i="55"/>
  <c r="J23" i="55"/>
  <c r="I23" i="55"/>
  <c r="J22" i="55"/>
  <c r="I22" i="55"/>
  <c r="J21" i="55"/>
  <c r="I21" i="55"/>
  <c r="J20" i="55"/>
  <c r="I20" i="55"/>
  <c r="J19" i="55"/>
  <c r="I19" i="55"/>
  <c r="J18" i="55"/>
  <c r="I18" i="55"/>
  <c r="J17" i="55"/>
  <c r="I17" i="55"/>
  <c r="J16" i="55"/>
  <c r="I16" i="55"/>
  <c r="J15" i="55"/>
  <c r="I15" i="55"/>
  <c r="J14" i="55"/>
  <c r="I14" i="55"/>
  <c r="J13" i="55"/>
  <c r="I13" i="55"/>
  <c r="J12" i="55"/>
  <c r="I12" i="55"/>
  <c r="J11" i="55"/>
  <c r="I11" i="55"/>
  <c r="J10" i="55"/>
  <c r="I10" i="55"/>
  <c r="J9" i="55"/>
  <c r="I9" i="55"/>
  <c r="E8" i="55"/>
  <c r="A3" i="55"/>
  <c r="D6" i="23"/>
  <c r="C6" i="23"/>
  <c r="B6" i="23"/>
  <c r="C5" i="23"/>
  <c r="D4" i="23"/>
  <c r="I7" i="26"/>
  <c r="G7" i="26"/>
  <c r="F7" i="26"/>
  <c r="E7" i="26"/>
  <c r="D7" i="26"/>
  <c r="C7" i="26"/>
  <c r="B7" i="26"/>
  <c r="F6" i="26"/>
  <c r="E6" i="26"/>
  <c r="C6" i="26"/>
  <c r="B6" i="26"/>
  <c r="I4" i="26"/>
  <c r="G132" i="29"/>
  <c r="F132" i="29"/>
  <c r="E132" i="29"/>
  <c r="D132" i="29"/>
  <c r="C132" i="29"/>
  <c r="B132" i="29"/>
  <c r="G129" i="29"/>
  <c r="F129" i="29"/>
  <c r="E129" i="29"/>
  <c r="D129" i="29"/>
  <c r="C129" i="29"/>
  <c r="B129" i="29"/>
  <c r="G123" i="29"/>
  <c r="F123" i="29"/>
  <c r="E123" i="29"/>
  <c r="D123" i="29"/>
  <c r="C123" i="29"/>
  <c r="B123" i="29"/>
  <c r="G120" i="29"/>
  <c r="F120" i="29"/>
  <c r="E120" i="29"/>
  <c r="D120" i="29"/>
  <c r="C120" i="29"/>
  <c r="C112" i="29"/>
  <c r="B120" i="29"/>
  <c r="B112" i="29"/>
  <c r="G113" i="29"/>
  <c r="F113" i="29"/>
  <c r="E113" i="29"/>
  <c r="E112" i="29"/>
  <c r="D113" i="29"/>
  <c r="D112" i="29"/>
  <c r="C113" i="29"/>
  <c r="B113" i="29"/>
  <c r="G112" i="29"/>
  <c r="F112" i="29"/>
  <c r="F90" i="29"/>
  <c r="G110" i="29"/>
  <c r="F110" i="29"/>
  <c r="E110" i="29"/>
  <c r="D110" i="29"/>
  <c r="C110" i="29"/>
  <c r="B110" i="29"/>
  <c r="G100" i="29"/>
  <c r="F100" i="29"/>
  <c r="E100" i="29"/>
  <c r="D100" i="29"/>
  <c r="C100" i="29"/>
  <c r="C91" i="29"/>
  <c r="C90" i="29"/>
  <c r="B100" i="29"/>
  <c r="B91" i="29"/>
  <c r="B90" i="29"/>
  <c r="G92" i="29"/>
  <c r="F92" i="29"/>
  <c r="E92" i="29"/>
  <c r="E91" i="29"/>
  <c r="D92" i="29"/>
  <c r="C92" i="29"/>
  <c r="B92" i="29"/>
  <c r="G91" i="29"/>
  <c r="F91" i="29"/>
  <c r="D91" i="29"/>
  <c r="D90" i="29"/>
  <c r="E90" i="29"/>
  <c r="G88" i="29"/>
  <c r="F88" i="29"/>
  <c r="E88" i="29"/>
  <c r="D88" i="29"/>
  <c r="C88" i="29"/>
  <c r="B88" i="29"/>
  <c r="G86" i="29"/>
  <c r="F86" i="29"/>
  <c r="E86" i="29"/>
  <c r="D86" i="29"/>
  <c r="C86" i="29"/>
  <c r="B86" i="29"/>
  <c r="G77" i="29"/>
  <c r="F77" i="29"/>
  <c r="E77" i="29"/>
  <c r="D77" i="29"/>
  <c r="C77" i="29"/>
  <c r="B77" i="29"/>
  <c r="G70" i="29"/>
  <c r="F70" i="29"/>
  <c r="E70" i="29"/>
  <c r="D70" i="29"/>
  <c r="C70" i="29"/>
  <c r="B70" i="29"/>
  <c r="G68" i="29"/>
  <c r="F68" i="29"/>
  <c r="E68" i="29"/>
  <c r="D68" i="29"/>
  <c r="C68" i="29"/>
  <c r="B68" i="29"/>
  <c r="G57" i="29"/>
  <c r="F57" i="29"/>
  <c r="E57" i="29"/>
  <c r="E46" i="29"/>
  <c r="E7" i="29"/>
  <c r="D57" i="29"/>
  <c r="D46" i="29"/>
  <c r="C57" i="29"/>
  <c r="B57" i="29"/>
  <c r="G47" i="29"/>
  <c r="G46" i="29"/>
  <c r="F47" i="29"/>
  <c r="F46" i="29"/>
  <c r="E47" i="29"/>
  <c r="D47" i="29"/>
  <c r="C47" i="29"/>
  <c r="C46" i="29"/>
  <c r="B47" i="29"/>
  <c r="B46" i="29"/>
  <c r="G44" i="29"/>
  <c r="F44" i="29"/>
  <c r="E44" i="29"/>
  <c r="D44" i="29"/>
  <c r="D8" i="29"/>
  <c r="D7" i="29"/>
  <c r="D6" i="29"/>
  <c r="C44" i="29"/>
  <c r="B44" i="29"/>
  <c r="G9" i="29"/>
  <c r="F9" i="29"/>
  <c r="F8" i="29"/>
  <c r="F7" i="29"/>
  <c r="E9" i="29"/>
  <c r="E8" i="29"/>
  <c r="D9" i="29"/>
  <c r="C9" i="29"/>
  <c r="B9" i="29"/>
  <c r="B8" i="29"/>
  <c r="B7" i="29"/>
  <c r="G8" i="29"/>
  <c r="C8" i="29"/>
  <c r="C7" i="29"/>
  <c r="A6" i="29"/>
  <c r="G4" i="29"/>
  <c r="A2" i="29"/>
  <c r="G132" i="30"/>
  <c r="F132" i="30"/>
  <c r="E132" i="30"/>
  <c r="D132" i="30"/>
  <c r="C132" i="30"/>
  <c r="B132" i="30"/>
  <c r="G129" i="30"/>
  <c r="F129" i="30"/>
  <c r="E129" i="30"/>
  <c r="D129" i="30"/>
  <c r="C129" i="30"/>
  <c r="B129" i="30"/>
  <c r="G123" i="30"/>
  <c r="F123" i="30"/>
  <c r="E123" i="30"/>
  <c r="D123" i="30"/>
  <c r="C123" i="30"/>
  <c r="B123" i="30"/>
  <c r="G120" i="30"/>
  <c r="F120" i="30"/>
  <c r="E120" i="30"/>
  <c r="D120" i="30"/>
  <c r="C120" i="30"/>
  <c r="C112" i="30"/>
  <c r="B120" i="30"/>
  <c r="G113" i="30"/>
  <c r="F113" i="30"/>
  <c r="E113" i="30"/>
  <c r="E112" i="30"/>
  <c r="D113" i="30"/>
  <c r="D112" i="30"/>
  <c r="C113" i="30"/>
  <c r="B113" i="30"/>
  <c r="G112" i="30"/>
  <c r="G90" i="30"/>
  <c r="F112" i="30"/>
  <c r="B112" i="30"/>
  <c r="G110" i="30"/>
  <c r="F110" i="30"/>
  <c r="E110" i="30"/>
  <c r="D110" i="30"/>
  <c r="C110" i="30"/>
  <c r="B110" i="30"/>
  <c r="G100" i="30"/>
  <c r="F100" i="30"/>
  <c r="E100" i="30"/>
  <c r="D100" i="30"/>
  <c r="C100" i="30"/>
  <c r="C91" i="30"/>
  <c r="B100" i="30"/>
  <c r="B91" i="30"/>
  <c r="B90" i="30"/>
  <c r="G92" i="30"/>
  <c r="F92" i="30"/>
  <c r="E92" i="30"/>
  <c r="E91" i="30"/>
  <c r="D92" i="30"/>
  <c r="D91" i="30"/>
  <c r="D90" i="30"/>
  <c r="C92" i="30"/>
  <c r="B92" i="30"/>
  <c r="G91" i="30"/>
  <c r="F91" i="30"/>
  <c r="F90" i="30"/>
  <c r="G88" i="30"/>
  <c r="F88" i="30"/>
  <c r="E88" i="30"/>
  <c r="D88" i="30"/>
  <c r="C88" i="30"/>
  <c r="B88" i="30"/>
  <c r="G86" i="30"/>
  <c r="F86" i="30"/>
  <c r="E86" i="30"/>
  <c r="D86" i="30"/>
  <c r="C86" i="30"/>
  <c r="B86" i="30"/>
  <c r="G77" i="30"/>
  <c r="F77" i="30"/>
  <c r="E77" i="30"/>
  <c r="D77" i="30"/>
  <c r="C77" i="30"/>
  <c r="B77" i="30"/>
  <c r="G70" i="30"/>
  <c r="F70" i="30"/>
  <c r="E70" i="30"/>
  <c r="D70" i="30"/>
  <c r="C70" i="30"/>
  <c r="B70" i="30"/>
  <c r="G68" i="30"/>
  <c r="F68" i="30"/>
  <c r="E68" i="30"/>
  <c r="D68" i="30"/>
  <c r="C68" i="30"/>
  <c r="B68" i="30"/>
  <c r="G57" i="30"/>
  <c r="F57" i="30"/>
  <c r="E57" i="30"/>
  <c r="E46" i="30"/>
  <c r="D57" i="30"/>
  <c r="C57" i="30"/>
  <c r="B57" i="30"/>
  <c r="G47" i="30"/>
  <c r="G46" i="30"/>
  <c r="F47" i="30"/>
  <c r="F46" i="30"/>
  <c r="E47" i="30"/>
  <c r="D47" i="30"/>
  <c r="C47" i="30"/>
  <c r="C46" i="30"/>
  <c r="B47" i="30"/>
  <c r="B46" i="30"/>
  <c r="D46" i="30"/>
  <c r="G44" i="30"/>
  <c r="F44" i="30"/>
  <c r="E44" i="30"/>
  <c r="D44" i="30"/>
  <c r="C44" i="30"/>
  <c r="B44" i="30"/>
  <c r="B8" i="30"/>
  <c r="B7" i="30"/>
  <c r="G9" i="30"/>
  <c r="G8" i="30"/>
  <c r="F9" i="30"/>
  <c r="E9" i="30"/>
  <c r="D9" i="30"/>
  <c r="D8" i="30"/>
  <c r="D7" i="30"/>
  <c r="C9" i="30"/>
  <c r="C8" i="30"/>
  <c r="B9" i="30"/>
  <c r="F8" i="30"/>
  <c r="F7" i="30"/>
  <c r="E8" i="30"/>
  <c r="E7" i="30"/>
  <c r="F6" i="30"/>
  <c r="A6" i="30"/>
  <c r="A2" i="30"/>
  <c r="G18" i="68"/>
  <c r="F18" i="68"/>
  <c r="E18" i="68"/>
  <c r="D18" i="68"/>
  <c r="C18" i="68"/>
  <c r="B18" i="68"/>
  <c r="G12" i="68"/>
  <c r="F12" i="68"/>
  <c r="E12" i="68"/>
  <c r="D12" i="68"/>
  <c r="C12" i="68"/>
  <c r="B12" i="68"/>
  <c r="A12" i="68"/>
  <c r="G6" i="68"/>
  <c r="F6" i="68"/>
  <c r="E6" i="68"/>
  <c r="D6" i="68"/>
  <c r="C6" i="68"/>
  <c r="B6" i="68"/>
  <c r="A2" i="68"/>
  <c r="G20" i="69"/>
  <c r="F20" i="69"/>
  <c r="E20" i="69"/>
  <c r="D20" i="69"/>
  <c r="C20" i="69"/>
  <c r="B20" i="69"/>
  <c r="A20" i="69"/>
  <c r="G19" i="69"/>
  <c r="F19" i="69"/>
  <c r="E19" i="69"/>
  <c r="E18" i="69"/>
  <c r="D19" i="69"/>
  <c r="C19" i="69"/>
  <c r="B19" i="69"/>
  <c r="A19" i="69"/>
  <c r="D18" i="69"/>
  <c r="B18" i="69"/>
  <c r="G17" i="69"/>
  <c r="F17" i="69"/>
  <c r="E17" i="69"/>
  <c r="D17" i="69"/>
  <c r="C17" i="69"/>
  <c r="B17" i="69"/>
  <c r="G14" i="69"/>
  <c r="G12" i="69"/>
  <c r="F14" i="69"/>
  <c r="E14" i="69"/>
  <c r="D14" i="69"/>
  <c r="C14" i="69"/>
  <c r="C12" i="69"/>
  <c r="B14" i="69"/>
  <c r="A14" i="69"/>
  <c r="G13" i="69"/>
  <c r="F13" i="69"/>
  <c r="F12" i="69"/>
  <c r="E13" i="69"/>
  <c r="D13" i="69"/>
  <c r="C13" i="69"/>
  <c r="B13" i="69"/>
  <c r="B12" i="69"/>
  <c r="A13" i="69"/>
  <c r="E12" i="69"/>
  <c r="D12" i="69"/>
  <c r="A12" i="69"/>
  <c r="G11" i="69"/>
  <c r="F11" i="69"/>
  <c r="E11" i="69"/>
  <c r="D11" i="69"/>
  <c r="C11" i="69"/>
  <c r="B11" i="69"/>
  <c r="G8" i="69"/>
  <c r="F8" i="69"/>
  <c r="E8" i="69"/>
  <c r="D8" i="69"/>
  <c r="C8" i="69"/>
  <c r="B8" i="69"/>
  <c r="A8" i="69"/>
  <c r="G7" i="69"/>
  <c r="F7" i="69"/>
  <c r="E7" i="69"/>
  <c r="D7" i="69"/>
  <c r="D6" i="69"/>
  <c r="C7" i="69"/>
  <c r="B7" i="69"/>
  <c r="A7" i="69"/>
  <c r="G6" i="69"/>
  <c r="E6" i="69"/>
  <c r="C6" i="69"/>
  <c r="A6" i="69"/>
  <c r="G5" i="69"/>
  <c r="F5" i="69"/>
  <c r="E5" i="69"/>
  <c r="D5" i="69"/>
  <c r="C5" i="69"/>
  <c r="B5" i="69"/>
  <c r="A2" i="69"/>
  <c r="G20" i="49"/>
  <c r="F20" i="49"/>
  <c r="E20" i="49"/>
  <c r="D20" i="49"/>
  <c r="C20" i="49"/>
  <c r="B20" i="49"/>
  <c r="B18" i="49"/>
  <c r="A20" i="49"/>
  <c r="G19" i="49"/>
  <c r="F19" i="49"/>
  <c r="E19" i="49"/>
  <c r="E18" i="49"/>
  <c r="D19" i="49"/>
  <c r="C19" i="49"/>
  <c r="B19" i="49"/>
  <c r="A19" i="49"/>
  <c r="D18" i="49"/>
  <c r="G17" i="49"/>
  <c r="F17" i="49"/>
  <c r="E17" i="49"/>
  <c r="D17" i="49"/>
  <c r="C17" i="49"/>
  <c r="B17" i="49"/>
  <c r="G14" i="49"/>
  <c r="G12" i="49"/>
  <c r="F14" i="49"/>
  <c r="E14" i="49"/>
  <c r="D14" i="49"/>
  <c r="C14" i="49"/>
  <c r="C12" i="49"/>
  <c r="B14" i="49"/>
  <c r="A14" i="49"/>
  <c r="G13" i="49"/>
  <c r="F13" i="49"/>
  <c r="F12" i="49"/>
  <c r="E13" i="49"/>
  <c r="D13" i="49"/>
  <c r="C13" i="49"/>
  <c r="B13" i="49"/>
  <c r="B12" i="49"/>
  <c r="A13" i="49"/>
  <c r="E12" i="49"/>
  <c r="D12" i="49"/>
  <c r="A12" i="49"/>
  <c r="G11" i="49"/>
  <c r="F11" i="49"/>
  <c r="E11" i="49"/>
  <c r="D11" i="49"/>
  <c r="C11" i="49"/>
  <c r="B11" i="49"/>
  <c r="G8" i="49"/>
  <c r="F8" i="49"/>
  <c r="E8" i="49"/>
  <c r="D8" i="49"/>
  <c r="C8" i="49"/>
  <c r="B8" i="49"/>
  <c r="A8" i="49"/>
  <c r="G7" i="49"/>
  <c r="F7" i="49"/>
  <c r="E7" i="49"/>
  <c r="D7" i="49"/>
  <c r="D6" i="49"/>
  <c r="C7" i="49"/>
  <c r="B7" i="49"/>
  <c r="A7" i="49"/>
  <c r="G6" i="49"/>
  <c r="E6" i="49"/>
  <c r="C6" i="49"/>
  <c r="A6" i="49"/>
  <c r="G5" i="49"/>
  <c r="F5" i="49"/>
  <c r="E5" i="49"/>
  <c r="D5" i="49"/>
  <c r="C5" i="49"/>
  <c r="B5" i="49"/>
  <c r="A2" i="49"/>
  <c r="G18" i="32"/>
  <c r="F18" i="32"/>
  <c r="E18" i="32"/>
  <c r="D18" i="32"/>
  <c r="C18" i="32"/>
  <c r="B18" i="32"/>
  <c r="G12" i="32"/>
  <c r="F12" i="32"/>
  <c r="E12" i="32"/>
  <c r="D12" i="32"/>
  <c r="C12" i="32"/>
  <c r="B12" i="32"/>
  <c r="A12" i="32"/>
  <c r="G6" i="32"/>
  <c r="F6" i="32"/>
  <c r="E6" i="32"/>
  <c r="D6" i="32"/>
  <c r="C6" i="32"/>
  <c r="B6" i="32"/>
  <c r="G4" i="32"/>
  <c r="A4" i="32"/>
  <c r="A2" i="32"/>
  <c r="D17" i="65"/>
  <c r="C17" i="65"/>
  <c r="C8" i="65"/>
  <c r="B17" i="65"/>
  <c r="B8" i="65"/>
  <c r="D9" i="65"/>
  <c r="C9" i="65"/>
  <c r="B9" i="65"/>
  <c r="D8" i="65"/>
  <c r="A8" i="65"/>
  <c r="C7" i="65"/>
  <c r="B7" i="65"/>
  <c r="A4" i="65"/>
  <c r="D7" i="18"/>
  <c r="C7" i="18"/>
  <c r="B7" i="18"/>
  <c r="A7" i="18"/>
  <c r="C6" i="18"/>
  <c r="D5" i="18"/>
  <c r="A3" i="18"/>
  <c r="D112" i="16"/>
  <c r="C112" i="16"/>
  <c r="B112" i="16"/>
  <c r="D110" i="16"/>
  <c r="C110" i="16"/>
  <c r="B110" i="16"/>
  <c r="B97" i="16"/>
  <c r="D108" i="16"/>
  <c r="C108" i="16"/>
  <c r="B108" i="16"/>
  <c r="D105" i="16"/>
  <c r="D97" i="16"/>
  <c r="C105" i="16"/>
  <c r="B105" i="16"/>
  <c r="D98" i="16"/>
  <c r="C98" i="16"/>
  <c r="C97" i="16"/>
  <c r="B98" i="16"/>
  <c r="D95" i="16"/>
  <c r="C95" i="16"/>
  <c r="B95" i="16"/>
  <c r="D93" i="16"/>
  <c r="C93" i="16"/>
  <c r="B93" i="16"/>
  <c r="D91" i="16"/>
  <c r="C91" i="16"/>
  <c r="B91" i="16"/>
  <c r="D84" i="16"/>
  <c r="C84" i="16"/>
  <c r="B84" i="16"/>
  <c r="D82" i="16"/>
  <c r="C82" i="16"/>
  <c r="B82" i="16"/>
  <c r="D71" i="16"/>
  <c r="D60" i="16"/>
  <c r="D59" i="16"/>
  <c r="C71" i="16"/>
  <c r="B71" i="16"/>
  <c r="D61" i="16"/>
  <c r="C61" i="16"/>
  <c r="B61" i="16"/>
  <c r="B60" i="16"/>
  <c r="D57" i="16"/>
  <c r="C57" i="16"/>
  <c r="B57" i="16"/>
  <c r="D49" i="16"/>
  <c r="C49" i="16"/>
  <c r="B49" i="16"/>
  <c r="D45" i="16"/>
  <c r="D44" i="16"/>
  <c r="C45" i="16"/>
  <c r="B45" i="16"/>
  <c r="C44" i="16"/>
  <c r="D42" i="16"/>
  <c r="D9" i="16"/>
  <c r="C42" i="16"/>
  <c r="B42" i="16"/>
  <c r="D10" i="16"/>
  <c r="C10" i="16"/>
  <c r="C9" i="16"/>
  <c r="C8" i="16"/>
  <c r="B10" i="16"/>
  <c r="B9" i="16"/>
  <c r="D8" i="16"/>
  <c r="C6" i="16"/>
  <c r="B6" i="16"/>
  <c r="D5" i="16"/>
  <c r="A3" i="16"/>
  <c r="A2" i="16"/>
  <c r="D112" i="14"/>
  <c r="C112" i="14"/>
  <c r="B112" i="14"/>
  <c r="D110" i="14"/>
  <c r="C110" i="14"/>
  <c r="B110" i="14"/>
  <c r="D108" i="14"/>
  <c r="C108" i="14"/>
  <c r="B108" i="14"/>
  <c r="D105" i="14"/>
  <c r="C105" i="14"/>
  <c r="B105" i="14"/>
  <c r="D98" i="14"/>
  <c r="D97" i="14"/>
  <c r="C98" i="14"/>
  <c r="C97" i="14"/>
  <c r="C81" i="14"/>
  <c r="B98" i="14"/>
  <c r="B97" i="14"/>
  <c r="D95" i="14"/>
  <c r="C95" i="14"/>
  <c r="B95" i="14"/>
  <c r="D87" i="14"/>
  <c r="C87" i="14"/>
  <c r="B87" i="14"/>
  <c r="D83" i="14"/>
  <c r="D82" i="14"/>
  <c r="C83" i="14"/>
  <c r="C82" i="14"/>
  <c r="B83" i="14"/>
  <c r="B82" i="14"/>
  <c r="B81" i="14"/>
  <c r="D79" i="14"/>
  <c r="C79" i="14"/>
  <c r="B79" i="14"/>
  <c r="D77" i="14"/>
  <c r="C77" i="14"/>
  <c r="B77" i="14"/>
  <c r="D75" i="14"/>
  <c r="C75" i="14"/>
  <c r="B75" i="14"/>
  <c r="D68" i="14"/>
  <c r="C68" i="14"/>
  <c r="C44" i="14"/>
  <c r="B68" i="14"/>
  <c r="D66" i="14"/>
  <c r="C66" i="14"/>
  <c r="B66" i="14"/>
  <c r="B44" i="14"/>
  <c r="D55" i="14"/>
  <c r="C55" i="14"/>
  <c r="B55" i="14"/>
  <c r="D45" i="14"/>
  <c r="D44" i="14"/>
  <c r="C45" i="14"/>
  <c r="B45" i="14"/>
  <c r="D42" i="14"/>
  <c r="C42" i="14"/>
  <c r="B42" i="14"/>
  <c r="B9" i="14"/>
  <c r="D10" i="14"/>
  <c r="D9" i="14"/>
  <c r="C10" i="14"/>
  <c r="B10" i="14"/>
  <c r="C9" i="14"/>
  <c r="A7" i="14"/>
  <c r="D5" i="14"/>
  <c r="A3" i="14"/>
  <c r="A2" i="14"/>
  <c r="D25" i="17"/>
  <c r="C25" i="17"/>
  <c r="B25" i="17"/>
  <c r="D21" i="17"/>
  <c r="C21" i="17"/>
  <c r="B21" i="17"/>
  <c r="B20" i="17"/>
  <c r="C20" i="17"/>
  <c r="D12" i="17"/>
  <c r="C12" i="17"/>
  <c r="B12" i="17"/>
  <c r="B8" i="17"/>
  <c r="B7" i="17"/>
  <c r="D9" i="17"/>
  <c r="C9" i="17"/>
  <c r="C8" i="17"/>
  <c r="B9" i="17"/>
  <c r="D8" i="17"/>
  <c r="A7" i="17"/>
  <c r="C6" i="17"/>
  <c r="B6" i="17"/>
  <c r="D5" i="17"/>
  <c r="A3" i="17"/>
  <c r="N35" i="42"/>
  <c r="M35" i="42"/>
  <c r="L35" i="42"/>
  <c r="L26" i="42"/>
  <c r="K35" i="42"/>
  <c r="J35" i="42"/>
  <c r="I35" i="42"/>
  <c r="H35" i="42"/>
  <c r="H26" i="42"/>
  <c r="G35" i="42"/>
  <c r="F35" i="42"/>
  <c r="E35" i="42"/>
  <c r="D35" i="42"/>
  <c r="D26" i="42"/>
  <c r="C35" i="42"/>
  <c r="B35" i="42"/>
  <c r="B26" i="42"/>
  <c r="N27" i="42"/>
  <c r="M27" i="42"/>
  <c r="L27" i="42"/>
  <c r="K27" i="42"/>
  <c r="J27" i="42"/>
  <c r="I27" i="42"/>
  <c r="H27" i="42"/>
  <c r="G27" i="42"/>
  <c r="G26" i="42"/>
  <c r="F27" i="42"/>
  <c r="F26" i="42"/>
  <c r="E27" i="42"/>
  <c r="D27" i="42"/>
  <c r="C27" i="42"/>
  <c r="B27" i="42"/>
  <c r="N26" i="42"/>
  <c r="K26" i="42"/>
  <c r="J26" i="42"/>
  <c r="C26" i="42"/>
  <c r="N25" i="42"/>
  <c r="L25" i="42"/>
  <c r="K25" i="42"/>
  <c r="I25" i="42"/>
  <c r="F25" i="42"/>
  <c r="D25" i="42"/>
  <c r="C25" i="42"/>
  <c r="M7" i="42"/>
  <c r="L7" i="42"/>
  <c r="K7" i="42"/>
  <c r="G7" i="42"/>
  <c r="F7" i="42"/>
  <c r="E7" i="42"/>
  <c r="N6" i="42"/>
  <c r="L6" i="42"/>
  <c r="K6" i="42"/>
  <c r="I6" i="42"/>
  <c r="F6" i="42"/>
  <c r="D6" i="42"/>
  <c r="C6" i="42"/>
  <c r="A2" i="42"/>
  <c r="N7" i="45"/>
  <c r="M7" i="45"/>
  <c r="L7" i="45"/>
  <c r="K7" i="45"/>
  <c r="G7" i="45"/>
  <c r="F7" i="45"/>
  <c r="E7" i="45"/>
  <c r="A7" i="45"/>
  <c r="N6" i="45"/>
  <c r="L6" i="45"/>
  <c r="J6" i="45"/>
  <c r="I6" i="45"/>
  <c r="H6" i="45"/>
  <c r="F6" i="45"/>
  <c r="E6" i="45"/>
  <c r="D6" i="45"/>
  <c r="C6" i="45"/>
  <c r="N4" i="45"/>
  <c r="A2" i="45"/>
  <c r="H33" i="3"/>
  <c r="H24" i="3"/>
  <c r="G33" i="3"/>
  <c r="F33" i="3"/>
  <c r="E33" i="3"/>
  <c r="E24" i="3"/>
  <c r="D33" i="3"/>
  <c r="C33" i="3"/>
  <c r="B33" i="3"/>
  <c r="H25" i="3"/>
  <c r="G25" i="3"/>
  <c r="G24" i="3"/>
  <c r="F25" i="3"/>
  <c r="E25" i="3"/>
  <c r="D25" i="3"/>
  <c r="C25" i="3"/>
  <c r="C24" i="3"/>
  <c r="B25" i="3"/>
  <c r="F24" i="3"/>
  <c r="D24" i="3"/>
  <c r="B24" i="3"/>
  <c r="H23" i="3"/>
  <c r="F23" i="3"/>
  <c r="E23" i="3"/>
  <c r="C23" i="3"/>
  <c r="B23" i="3"/>
  <c r="H21" i="3"/>
  <c r="H8" i="3"/>
  <c r="G8" i="3"/>
  <c r="F8" i="3"/>
  <c r="E8" i="3"/>
  <c r="D8" i="3"/>
  <c r="C8" i="3"/>
  <c r="B8" i="3"/>
  <c r="A8" i="3"/>
  <c r="H7" i="3"/>
  <c r="F7" i="3"/>
  <c r="E7" i="3"/>
  <c r="C7" i="3"/>
  <c r="B7" i="3"/>
  <c r="A2" i="3"/>
  <c r="D32" i="6"/>
  <c r="D23" i="6"/>
  <c r="C32" i="6"/>
  <c r="C23" i="6"/>
  <c r="B32" i="6"/>
  <c r="D24" i="6"/>
  <c r="C24" i="6"/>
  <c r="B24" i="6"/>
  <c r="B23" i="6"/>
  <c r="A23" i="6"/>
  <c r="C22" i="6"/>
  <c r="B22" i="6"/>
  <c r="D21" i="6"/>
  <c r="A20" i="6"/>
  <c r="D7" i="6"/>
  <c r="C7" i="6"/>
  <c r="B7" i="6"/>
  <c r="A7" i="6"/>
  <c r="C6" i="6"/>
  <c r="B6" i="6"/>
  <c r="D5" i="6"/>
  <c r="A3" i="6"/>
  <c r="D7" i="44"/>
  <c r="C7" i="44"/>
  <c r="B7" i="44"/>
  <c r="A7" i="44"/>
  <c r="C6" i="44"/>
  <c r="B6" i="44"/>
  <c r="D5" i="44"/>
  <c r="A3" i="44"/>
  <c r="A2" i="44"/>
  <c r="H30" i="13"/>
  <c r="G30" i="13"/>
  <c r="F30" i="13"/>
  <c r="E30" i="13"/>
  <c r="E20" i="13"/>
  <c r="D30" i="13"/>
  <c r="C30" i="13"/>
  <c r="B30" i="13"/>
  <c r="H21" i="13"/>
  <c r="G21" i="13"/>
  <c r="F21" i="13"/>
  <c r="E21" i="13"/>
  <c r="D21" i="13"/>
  <c r="C21" i="13"/>
  <c r="B21" i="13"/>
  <c r="G20" i="13"/>
  <c r="F20" i="13"/>
  <c r="C20" i="13"/>
  <c r="B20" i="13"/>
  <c r="A20" i="13"/>
  <c r="F19" i="13"/>
  <c r="E19" i="13"/>
  <c r="C19" i="13"/>
  <c r="B19" i="13"/>
  <c r="H17" i="13"/>
  <c r="H7" i="13"/>
  <c r="G7" i="13"/>
  <c r="F7" i="13"/>
  <c r="E7" i="13"/>
  <c r="D7" i="13"/>
  <c r="C7" i="13"/>
  <c r="B7" i="13"/>
  <c r="A7" i="13"/>
  <c r="H6" i="13"/>
  <c r="F6" i="13"/>
  <c r="E6" i="13"/>
  <c r="C6" i="13"/>
  <c r="B6" i="13"/>
  <c r="H4" i="13"/>
  <c r="A2" i="13"/>
  <c r="D32" i="12"/>
  <c r="C32" i="12"/>
  <c r="B32" i="12"/>
  <c r="B22" i="12"/>
  <c r="D23" i="12"/>
  <c r="D22" i="12"/>
  <c r="C23" i="12"/>
  <c r="B23" i="12"/>
  <c r="C22" i="12"/>
  <c r="A22" i="12"/>
  <c r="C21" i="12"/>
  <c r="B21" i="12"/>
  <c r="D20" i="12"/>
  <c r="B20" i="12"/>
  <c r="A19" i="12"/>
  <c r="D7" i="12"/>
  <c r="C7" i="12"/>
  <c r="B7" i="12"/>
  <c r="A7" i="12"/>
  <c r="C6" i="12"/>
  <c r="B6" i="12"/>
  <c r="D5" i="12"/>
  <c r="D7" i="46"/>
  <c r="C7" i="46"/>
  <c r="B7" i="46"/>
  <c r="A7" i="46"/>
  <c r="C6" i="46"/>
  <c r="B6" i="46"/>
  <c r="D5" i="46"/>
  <c r="A3" i="46"/>
  <c r="A2" i="46"/>
  <c r="D18" i="43"/>
  <c r="C18" i="43"/>
  <c r="C14" i="43"/>
  <c r="B18" i="43"/>
  <c r="B14" i="43"/>
  <c r="D15" i="43"/>
  <c r="C15" i="43"/>
  <c r="B15" i="43"/>
  <c r="D14" i="43"/>
  <c r="A14" i="43"/>
  <c r="C13" i="43"/>
  <c r="B13" i="43"/>
  <c r="D12" i="43"/>
  <c r="A11" i="43"/>
  <c r="D9" i="43"/>
  <c r="C9" i="43"/>
  <c r="B9" i="43"/>
  <c r="A9" i="43"/>
  <c r="D8" i="43"/>
  <c r="C8" i="43"/>
  <c r="B8" i="43"/>
  <c r="A8" i="43"/>
  <c r="D7" i="43"/>
  <c r="C7" i="43"/>
  <c r="B7" i="43"/>
  <c r="A7" i="43"/>
  <c r="C6" i="43"/>
  <c r="B6" i="43"/>
  <c r="D5" i="43"/>
  <c r="A2" i="43"/>
  <c r="D6" i="47"/>
  <c r="C6" i="47"/>
  <c r="B6" i="47"/>
  <c r="A6" i="47"/>
  <c r="C5" i="47"/>
  <c r="B5" i="47"/>
  <c r="D4" i="47"/>
  <c r="A2" i="47"/>
  <c r="N18" i="19"/>
  <c r="M18" i="19"/>
  <c r="L18" i="19"/>
  <c r="K18" i="19"/>
  <c r="J18" i="19"/>
  <c r="I18" i="19"/>
  <c r="H18" i="19"/>
  <c r="G18" i="19"/>
  <c r="F18" i="19"/>
  <c r="E18" i="19"/>
  <c r="D18" i="19"/>
  <c r="C18" i="19"/>
  <c r="B18" i="19"/>
  <c r="A18" i="19"/>
  <c r="N12" i="19"/>
  <c r="M12" i="19"/>
  <c r="L12" i="19"/>
  <c r="K12" i="19"/>
  <c r="J12" i="19"/>
  <c r="I12" i="19"/>
  <c r="H12" i="19"/>
  <c r="G12" i="19"/>
  <c r="F12" i="19"/>
  <c r="E12" i="19"/>
  <c r="D12" i="19"/>
  <c r="C12" i="19"/>
  <c r="B12" i="19"/>
  <c r="A12" i="19"/>
  <c r="N6" i="19"/>
  <c r="M6" i="19"/>
  <c r="L6" i="19"/>
  <c r="K6" i="19"/>
  <c r="J6" i="19"/>
  <c r="I6" i="19"/>
  <c r="H6" i="19"/>
  <c r="G6" i="19"/>
  <c r="F6" i="19"/>
  <c r="E6" i="19"/>
  <c r="D6" i="19"/>
  <c r="C6" i="19"/>
  <c r="B6" i="19"/>
  <c r="A6" i="19"/>
  <c r="N4" i="19"/>
  <c r="N20" i="61"/>
  <c r="M20" i="61"/>
  <c r="L20" i="61"/>
  <c r="K20" i="61"/>
  <c r="J20" i="61"/>
  <c r="J18" i="61"/>
  <c r="I20" i="61"/>
  <c r="H20" i="61"/>
  <c r="G20" i="61"/>
  <c r="F20" i="61"/>
  <c r="E20" i="61"/>
  <c r="D20" i="61"/>
  <c r="C20" i="61"/>
  <c r="B20" i="61"/>
  <c r="B18" i="61"/>
  <c r="A20" i="61"/>
  <c r="N19" i="61"/>
  <c r="M19" i="61"/>
  <c r="M18" i="61"/>
  <c r="L19" i="61"/>
  <c r="L18" i="61"/>
  <c r="K19" i="61"/>
  <c r="J19" i="61"/>
  <c r="I19" i="61"/>
  <c r="I18" i="61"/>
  <c r="H19" i="61"/>
  <c r="H18" i="61"/>
  <c r="G19" i="61"/>
  <c r="F19" i="61"/>
  <c r="E19" i="61"/>
  <c r="E18" i="61"/>
  <c r="D19" i="61"/>
  <c r="D18" i="61"/>
  <c r="C19" i="61"/>
  <c r="B19" i="61"/>
  <c r="A19" i="61"/>
  <c r="N18" i="61"/>
  <c r="K18" i="61"/>
  <c r="G18" i="61"/>
  <c r="F18" i="61"/>
  <c r="C18" i="61"/>
  <c r="N17" i="61"/>
  <c r="M17" i="61"/>
  <c r="L17" i="61"/>
  <c r="K17" i="61"/>
  <c r="J17" i="61"/>
  <c r="I17" i="61"/>
  <c r="H17" i="61"/>
  <c r="G17" i="61"/>
  <c r="F17" i="61"/>
  <c r="E17" i="61"/>
  <c r="D17" i="61"/>
  <c r="C17" i="61"/>
  <c r="B17" i="61"/>
  <c r="N14" i="61"/>
  <c r="M14" i="61"/>
  <c r="L14" i="61"/>
  <c r="K14" i="61"/>
  <c r="J14" i="61"/>
  <c r="I14" i="61"/>
  <c r="H14" i="61"/>
  <c r="G14" i="61"/>
  <c r="F14" i="61"/>
  <c r="E14" i="61"/>
  <c r="D14" i="61"/>
  <c r="C14" i="61"/>
  <c r="B14" i="61"/>
  <c r="A14" i="61"/>
  <c r="N13" i="61"/>
  <c r="M13" i="61"/>
  <c r="L13" i="61"/>
  <c r="L12" i="61"/>
  <c r="K13" i="61"/>
  <c r="K12" i="61"/>
  <c r="J13" i="61"/>
  <c r="I13" i="61"/>
  <c r="H13" i="61"/>
  <c r="H12" i="61"/>
  <c r="G13" i="61"/>
  <c r="G12" i="61"/>
  <c r="F13" i="61"/>
  <c r="E13" i="61"/>
  <c r="D13" i="61"/>
  <c r="D12" i="61"/>
  <c r="C13" i="61"/>
  <c r="C12" i="61"/>
  <c r="B13" i="61"/>
  <c r="A13" i="61"/>
  <c r="N12" i="61"/>
  <c r="M12" i="61"/>
  <c r="J12" i="61"/>
  <c r="I12" i="61"/>
  <c r="F12" i="61"/>
  <c r="E12" i="61"/>
  <c r="B12" i="61"/>
  <c r="A12" i="61"/>
  <c r="N11" i="61"/>
  <c r="M11" i="61"/>
  <c r="L11" i="61"/>
  <c r="K11" i="61"/>
  <c r="J11" i="61"/>
  <c r="I11" i="61"/>
  <c r="H11" i="61"/>
  <c r="G11" i="61"/>
  <c r="F11" i="61"/>
  <c r="E11" i="61"/>
  <c r="D11" i="61"/>
  <c r="C11" i="61"/>
  <c r="B11" i="61"/>
  <c r="N8" i="61"/>
  <c r="M8" i="61"/>
  <c r="L8" i="61"/>
  <c r="K8" i="61"/>
  <c r="J8" i="61"/>
  <c r="I8" i="61"/>
  <c r="H8" i="61"/>
  <c r="G8" i="61"/>
  <c r="F8" i="61"/>
  <c r="E8" i="61"/>
  <c r="D8" i="61"/>
  <c r="C8" i="61"/>
  <c r="B8" i="61"/>
  <c r="A8" i="61"/>
  <c r="N7" i="61"/>
  <c r="M7" i="61"/>
  <c r="L7" i="61"/>
  <c r="L6" i="61"/>
  <c r="K7" i="61"/>
  <c r="K6" i="61"/>
  <c r="J7" i="61"/>
  <c r="I7" i="61"/>
  <c r="H7" i="61"/>
  <c r="H6" i="61"/>
  <c r="G7" i="61"/>
  <c r="G6" i="61"/>
  <c r="F7" i="61"/>
  <c r="E7" i="61"/>
  <c r="D7" i="61"/>
  <c r="D6" i="61"/>
  <c r="C7" i="61"/>
  <c r="C6" i="61"/>
  <c r="B7" i="61"/>
  <c r="A7" i="61"/>
  <c r="N6" i="61"/>
  <c r="M6" i="61"/>
  <c r="J6" i="61"/>
  <c r="I6" i="61"/>
  <c r="F6" i="61"/>
  <c r="E6" i="61"/>
  <c r="B6" i="61"/>
  <c r="A6" i="61"/>
  <c r="N5" i="61"/>
  <c r="M5" i="61"/>
  <c r="L5" i="61"/>
  <c r="K5" i="61"/>
  <c r="J5" i="61"/>
  <c r="I5" i="61"/>
  <c r="H5" i="61"/>
  <c r="G5" i="61"/>
  <c r="F5" i="61"/>
  <c r="E5" i="61"/>
  <c r="D5" i="61"/>
  <c r="C5" i="61"/>
  <c r="B5" i="61"/>
  <c r="N4" i="61"/>
  <c r="N18" i="8"/>
  <c r="M18" i="8"/>
  <c r="L18" i="8"/>
  <c r="K18" i="8"/>
  <c r="J18" i="8"/>
  <c r="I18" i="8"/>
  <c r="H18" i="8"/>
  <c r="G18" i="8"/>
  <c r="F18" i="8"/>
  <c r="E18" i="8"/>
  <c r="D18" i="8"/>
  <c r="C18" i="8"/>
  <c r="B18" i="8"/>
  <c r="A18" i="8"/>
  <c r="A18" i="61"/>
  <c r="N12" i="8"/>
  <c r="M12" i="8"/>
  <c r="L12" i="8"/>
  <c r="K12" i="8"/>
  <c r="J12" i="8"/>
  <c r="I12" i="8"/>
  <c r="H12" i="8"/>
  <c r="G12" i="8"/>
  <c r="F12" i="8"/>
  <c r="E12" i="8"/>
  <c r="D12" i="8"/>
  <c r="C12" i="8"/>
  <c r="B12" i="8"/>
  <c r="A12" i="8"/>
  <c r="N10" i="8"/>
  <c r="N6" i="8"/>
  <c r="M6" i="8"/>
  <c r="L6" i="8"/>
  <c r="K6" i="8"/>
  <c r="J6" i="8"/>
  <c r="I6" i="8"/>
  <c r="H6" i="8"/>
  <c r="G6" i="8"/>
  <c r="F6" i="8"/>
  <c r="E6" i="8"/>
  <c r="D6" i="8"/>
  <c r="C6" i="8"/>
  <c r="B6" i="8"/>
  <c r="A6" i="8"/>
  <c r="N4" i="8"/>
  <c r="N120" i="22"/>
  <c r="M120" i="22"/>
  <c r="L120" i="22"/>
  <c r="K120" i="22"/>
  <c r="J120" i="22"/>
  <c r="I120" i="22"/>
  <c r="H120" i="22"/>
  <c r="G120" i="22"/>
  <c r="F120" i="22"/>
  <c r="E120" i="22"/>
  <c r="D120" i="22"/>
  <c r="C120" i="22"/>
  <c r="B120" i="22"/>
  <c r="N117" i="22"/>
  <c r="M117" i="22"/>
  <c r="L117" i="22"/>
  <c r="K117" i="22"/>
  <c r="J117" i="22"/>
  <c r="J104" i="22"/>
  <c r="I117" i="22"/>
  <c r="H117" i="22"/>
  <c r="G117" i="22"/>
  <c r="F117" i="22"/>
  <c r="F104" i="22"/>
  <c r="E117" i="22"/>
  <c r="D117" i="22"/>
  <c r="C117" i="22"/>
  <c r="B117" i="22"/>
  <c r="B104" i="22"/>
  <c r="N115" i="22"/>
  <c r="M115" i="22"/>
  <c r="L115" i="22"/>
  <c r="K115" i="22"/>
  <c r="J115" i="22"/>
  <c r="I115" i="22"/>
  <c r="H115" i="22"/>
  <c r="G115" i="22"/>
  <c r="F115" i="22"/>
  <c r="E115" i="22"/>
  <c r="D115" i="22"/>
  <c r="C115" i="22"/>
  <c r="B115" i="22"/>
  <c r="N112" i="22"/>
  <c r="M112" i="22"/>
  <c r="L112" i="22"/>
  <c r="L104" i="22"/>
  <c r="K112" i="22"/>
  <c r="J112" i="22"/>
  <c r="I112" i="22"/>
  <c r="H112" i="22"/>
  <c r="H104" i="22"/>
  <c r="G112" i="22"/>
  <c r="F112" i="22"/>
  <c r="E112" i="22"/>
  <c r="D112" i="22"/>
  <c r="D104" i="22"/>
  <c r="C112" i="22"/>
  <c r="B112" i="22"/>
  <c r="N105" i="22"/>
  <c r="M105" i="22"/>
  <c r="M104" i="22"/>
  <c r="L105" i="22"/>
  <c r="K105" i="22"/>
  <c r="J105" i="22"/>
  <c r="I105" i="22"/>
  <c r="I104" i="22"/>
  <c r="H105" i="22"/>
  <c r="G105" i="22"/>
  <c r="F105" i="22"/>
  <c r="E105" i="22"/>
  <c r="E104" i="22"/>
  <c r="D105" i="22"/>
  <c r="C105" i="22"/>
  <c r="B105" i="22"/>
  <c r="N104" i="22"/>
  <c r="N102" i="22"/>
  <c r="M102" i="22"/>
  <c r="L102" i="22"/>
  <c r="K102" i="22"/>
  <c r="J102" i="22"/>
  <c r="I102" i="22"/>
  <c r="H102" i="22"/>
  <c r="G102" i="22"/>
  <c r="F102" i="22"/>
  <c r="E102" i="22"/>
  <c r="D102" i="22"/>
  <c r="C102" i="22"/>
  <c r="B102" i="22"/>
  <c r="N94" i="22"/>
  <c r="M94" i="22"/>
  <c r="L94" i="22"/>
  <c r="L88" i="22"/>
  <c r="K94" i="22"/>
  <c r="J94" i="22"/>
  <c r="I94" i="22"/>
  <c r="H94" i="22"/>
  <c r="H88" i="22"/>
  <c r="G94" i="22"/>
  <c r="F94" i="22"/>
  <c r="E94" i="22"/>
  <c r="D94" i="22"/>
  <c r="D88" i="22"/>
  <c r="C94" i="22"/>
  <c r="B94" i="22"/>
  <c r="N89" i="22"/>
  <c r="M89" i="22"/>
  <c r="M88" i="22"/>
  <c r="L89" i="22"/>
  <c r="K89" i="22"/>
  <c r="J89" i="22"/>
  <c r="I89" i="22"/>
  <c r="I88" i="22"/>
  <c r="H89" i="22"/>
  <c r="G89" i="22"/>
  <c r="F89" i="22"/>
  <c r="E89" i="22"/>
  <c r="E88" i="22"/>
  <c r="D89" i="22"/>
  <c r="C89" i="22"/>
  <c r="B89" i="22"/>
  <c r="N88" i="22"/>
  <c r="J88" i="22"/>
  <c r="F88" i="22"/>
  <c r="B88" i="22"/>
  <c r="N85" i="22"/>
  <c r="M85" i="22"/>
  <c r="L85" i="22"/>
  <c r="K85" i="22"/>
  <c r="J85" i="22"/>
  <c r="I85" i="22"/>
  <c r="H85" i="22"/>
  <c r="G85" i="22"/>
  <c r="F85" i="22"/>
  <c r="E85" i="22"/>
  <c r="D85" i="22"/>
  <c r="C85" i="22"/>
  <c r="B85" i="22"/>
  <c r="N83" i="22"/>
  <c r="M83" i="22"/>
  <c r="L83" i="22"/>
  <c r="K83" i="22"/>
  <c r="J83" i="22"/>
  <c r="I83" i="22"/>
  <c r="H83" i="22"/>
  <c r="G83" i="22"/>
  <c r="F83" i="22"/>
  <c r="E83" i="22"/>
  <c r="D83" i="22"/>
  <c r="C83" i="22"/>
  <c r="B83" i="22"/>
  <c r="N75" i="22"/>
  <c r="M75" i="22"/>
  <c r="L75" i="22"/>
  <c r="K75" i="22"/>
  <c r="J75" i="22"/>
  <c r="I75" i="22"/>
  <c r="H75" i="22"/>
  <c r="G75" i="22"/>
  <c r="F75" i="22"/>
  <c r="E75" i="22"/>
  <c r="D75" i="22"/>
  <c r="C75" i="22"/>
  <c r="B75" i="22"/>
  <c r="N68" i="22"/>
  <c r="M68" i="22"/>
  <c r="L68" i="22"/>
  <c r="K68" i="22"/>
  <c r="K44" i="22"/>
  <c r="K7" i="22"/>
  <c r="J68" i="22"/>
  <c r="I68" i="22"/>
  <c r="H68" i="22"/>
  <c r="G68" i="22"/>
  <c r="G44" i="22"/>
  <c r="G7" i="22"/>
  <c r="F68" i="22"/>
  <c r="E68" i="22"/>
  <c r="D68" i="22"/>
  <c r="C68" i="22"/>
  <c r="C44" i="22"/>
  <c r="C7" i="22"/>
  <c r="B68" i="22"/>
  <c r="N66" i="22"/>
  <c r="M66" i="22"/>
  <c r="L66" i="22"/>
  <c r="K66" i="22"/>
  <c r="J66" i="22"/>
  <c r="I66" i="22"/>
  <c r="H66" i="22"/>
  <c r="G66" i="22"/>
  <c r="F66" i="22"/>
  <c r="E66" i="22"/>
  <c r="D66" i="22"/>
  <c r="C66" i="22"/>
  <c r="B66" i="22"/>
  <c r="N55" i="22"/>
  <c r="M55" i="22"/>
  <c r="M44" i="22"/>
  <c r="L55" i="22"/>
  <c r="K55" i="22"/>
  <c r="J55" i="22"/>
  <c r="I55" i="22"/>
  <c r="I44" i="22"/>
  <c r="H55" i="22"/>
  <c r="G55" i="22"/>
  <c r="F55" i="22"/>
  <c r="E55" i="22"/>
  <c r="E44" i="22"/>
  <c r="D55" i="22"/>
  <c r="C55" i="22"/>
  <c r="B55" i="22"/>
  <c r="N45" i="22"/>
  <c r="N44" i="22"/>
  <c r="M45" i="22"/>
  <c r="L45" i="22"/>
  <c r="K45" i="22"/>
  <c r="J45" i="22"/>
  <c r="J44" i="22"/>
  <c r="I45" i="22"/>
  <c r="H45" i="22"/>
  <c r="G45" i="22"/>
  <c r="F45" i="22"/>
  <c r="F44" i="22"/>
  <c r="E45" i="22"/>
  <c r="D45" i="22"/>
  <c r="C45" i="22"/>
  <c r="B45" i="22"/>
  <c r="B44" i="22"/>
  <c r="N42" i="22"/>
  <c r="M42" i="22"/>
  <c r="L42" i="22"/>
  <c r="L8" i="22"/>
  <c r="K42" i="22"/>
  <c r="J42" i="22"/>
  <c r="I42" i="22"/>
  <c r="H42" i="22"/>
  <c r="H8" i="22"/>
  <c r="G42" i="22"/>
  <c r="F42" i="22"/>
  <c r="E42" i="22"/>
  <c r="D42" i="22"/>
  <c r="D8" i="22"/>
  <c r="C42" i="22"/>
  <c r="B42" i="22"/>
  <c r="N9" i="22"/>
  <c r="M9" i="22"/>
  <c r="M8" i="22"/>
  <c r="L9" i="22"/>
  <c r="K9" i="22"/>
  <c r="J9" i="22"/>
  <c r="I9" i="22"/>
  <c r="I8" i="22"/>
  <c r="H9" i="22"/>
  <c r="G9" i="22"/>
  <c r="F9" i="22"/>
  <c r="E9" i="22"/>
  <c r="E8" i="22"/>
  <c r="D9" i="22"/>
  <c r="C9" i="22"/>
  <c r="B9" i="22"/>
  <c r="N8" i="22"/>
  <c r="K8" i="22"/>
  <c r="J8" i="22"/>
  <c r="J7" i="22"/>
  <c r="G8" i="22"/>
  <c r="F8" i="22"/>
  <c r="C8" i="22"/>
  <c r="B8" i="22"/>
  <c r="B7" i="22"/>
  <c r="A6" i="22"/>
  <c r="N4" i="22"/>
  <c r="A2" i="22"/>
  <c r="N120" i="21"/>
  <c r="M120" i="21"/>
  <c r="L120" i="21"/>
  <c r="K120" i="21"/>
  <c r="J120" i="21"/>
  <c r="I120" i="21"/>
  <c r="H120" i="21"/>
  <c r="G120" i="21"/>
  <c r="F120" i="21"/>
  <c r="E120" i="21"/>
  <c r="D120" i="21"/>
  <c r="C120" i="21"/>
  <c r="B120" i="21"/>
  <c r="N117" i="21"/>
  <c r="M117" i="21"/>
  <c r="L117" i="21"/>
  <c r="K117" i="21"/>
  <c r="J117" i="21"/>
  <c r="I117" i="21"/>
  <c r="H117" i="21"/>
  <c r="G117" i="21"/>
  <c r="F117" i="21"/>
  <c r="E117" i="21"/>
  <c r="D117" i="21"/>
  <c r="C117" i="21"/>
  <c r="B117" i="21"/>
  <c r="N115" i="21"/>
  <c r="N104" i="21"/>
  <c r="M115" i="21"/>
  <c r="L115" i="21"/>
  <c r="K115" i="21"/>
  <c r="J115" i="21"/>
  <c r="J104" i="21"/>
  <c r="I115" i="21"/>
  <c r="H115" i="21"/>
  <c r="G115" i="21"/>
  <c r="F115" i="21"/>
  <c r="F104" i="21"/>
  <c r="E115" i="21"/>
  <c r="D115" i="21"/>
  <c r="C115" i="21"/>
  <c r="B115" i="21"/>
  <c r="B104" i="21"/>
  <c r="N112" i="21"/>
  <c r="M112" i="21"/>
  <c r="L112" i="21"/>
  <c r="K112" i="21"/>
  <c r="K104" i="21"/>
  <c r="J112" i="21"/>
  <c r="I112" i="21"/>
  <c r="H112" i="21"/>
  <c r="G112" i="21"/>
  <c r="G104" i="21"/>
  <c r="F112" i="21"/>
  <c r="E112" i="21"/>
  <c r="D112" i="21"/>
  <c r="C112" i="21"/>
  <c r="C104" i="21"/>
  <c r="B112" i="21"/>
  <c r="N105" i="21"/>
  <c r="M105" i="21"/>
  <c r="L105" i="21"/>
  <c r="L104" i="21"/>
  <c r="K105" i="21"/>
  <c r="J105" i="21"/>
  <c r="I105" i="21"/>
  <c r="I104" i="21"/>
  <c r="H105" i="21"/>
  <c r="H104" i="21"/>
  <c r="G105" i="21"/>
  <c r="F105" i="21"/>
  <c r="E105" i="21"/>
  <c r="D105" i="21"/>
  <c r="D104" i="21"/>
  <c r="D87" i="21"/>
  <c r="C105" i="21"/>
  <c r="B105" i="21"/>
  <c r="M104" i="21"/>
  <c r="E104" i="21"/>
  <c r="N102" i="21"/>
  <c r="N88" i="21"/>
  <c r="M102" i="21"/>
  <c r="L102" i="21"/>
  <c r="K102" i="21"/>
  <c r="J102" i="21"/>
  <c r="J88" i="21"/>
  <c r="I102" i="21"/>
  <c r="H102" i="21"/>
  <c r="G102" i="21"/>
  <c r="F102" i="21"/>
  <c r="E102" i="21"/>
  <c r="D102" i="21"/>
  <c r="C102" i="21"/>
  <c r="B102" i="21"/>
  <c r="N94" i="21"/>
  <c r="M94" i="21"/>
  <c r="L94" i="21"/>
  <c r="K94" i="21"/>
  <c r="J94" i="21"/>
  <c r="I94" i="21"/>
  <c r="H94" i="21"/>
  <c r="G94" i="21"/>
  <c r="F94" i="21"/>
  <c r="E94" i="21"/>
  <c r="D94" i="21"/>
  <c r="C94" i="21"/>
  <c r="C88" i="21"/>
  <c r="B94" i="21"/>
  <c r="N89" i="21"/>
  <c r="M89" i="21"/>
  <c r="L89" i="21"/>
  <c r="L88" i="21"/>
  <c r="L87" i="21"/>
  <c r="K89" i="21"/>
  <c r="J89" i="21"/>
  <c r="I89" i="21"/>
  <c r="H89" i="21"/>
  <c r="H88" i="21"/>
  <c r="G89" i="21"/>
  <c r="F89" i="21"/>
  <c r="E89" i="21"/>
  <c r="E88" i="21"/>
  <c r="E87" i="21"/>
  <c r="D89" i="21"/>
  <c r="D88" i="21"/>
  <c r="C89" i="21"/>
  <c r="B89" i="21"/>
  <c r="M88" i="21"/>
  <c r="K88" i="21"/>
  <c r="K87" i="21"/>
  <c r="I88" i="21"/>
  <c r="G88" i="21"/>
  <c r="G87" i="21"/>
  <c r="F88" i="21"/>
  <c r="F87" i="21"/>
  <c r="F6" i="21"/>
  <c r="B88" i="21"/>
  <c r="H87" i="21"/>
  <c r="N85" i="21"/>
  <c r="M85" i="21"/>
  <c r="L85" i="21"/>
  <c r="K85" i="21"/>
  <c r="J85" i="21"/>
  <c r="I85" i="21"/>
  <c r="H85" i="21"/>
  <c r="G85" i="21"/>
  <c r="F85" i="21"/>
  <c r="E85" i="21"/>
  <c r="D85" i="21"/>
  <c r="C85" i="21"/>
  <c r="B85" i="21"/>
  <c r="N83" i="21"/>
  <c r="M83" i="21"/>
  <c r="L83" i="21"/>
  <c r="K83" i="21"/>
  <c r="J83" i="21"/>
  <c r="I83" i="21"/>
  <c r="H83" i="21"/>
  <c r="G83" i="21"/>
  <c r="F83" i="21"/>
  <c r="E83" i="21"/>
  <c r="D83" i="21"/>
  <c r="C83" i="21"/>
  <c r="B83" i="21"/>
  <c r="N75" i="21"/>
  <c r="M75" i="21"/>
  <c r="L75" i="21"/>
  <c r="K75" i="21"/>
  <c r="J75" i="21"/>
  <c r="I75" i="21"/>
  <c r="H75" i="21"/>
  <c r="G75" i="21"/>
  <c r="F75" i="21"/>
  <c r="E75" i="21"/>
  <c r="D75" i="21"/>
  <c r="C75" i="21"/>
  <c r="B75" i="21"/>
  <c r="N68" i="21"/>
  <c r="M68" i="21"/>
  <c r="L68" i="21"/>
  <c r="K68" i="21"/>
  <c r="K44" i="21"/>
  <c r="J68" i="21"/>
  <c r="I68" i="21"/>
  <c r="H68" i="21"/>
  <c r="G68" i="21"/>
  <c r="F68" i="21"/>
  <c r="E68" i="21"/>
  <c r="D68" i="21"/>
  <c r="C68" i="21"/>
  <c r="B68" i="21"/>
  <c r="N66" i="21"/>
  <c r="M66" i="21"/>
  <c r="L66" i="21"/>
  <c r="K66" i="21"/>
  <c r="J66" i="21"/>
  <c r="I66" i="21"/>
  <c r="H66" i="21"/>
  <c r="H44" i="21"/>
  <c r="G66" i="21"/>
  <c r="F66" i="21"/>
  <c r="E66" i="21"/>
  <c r="D66" i="21"/>
  <c r="C66" i="21"/>
  <c r="B66" i="21"/>
  <c r="N55" i="21"/>
  <c r="M55" i="21"/>
  <c r="L55" i="21"/>
  <c r="L44" i="21"/>
  <c r="K55" i="21"/>
  <c r="J55" i="21"/>
  <c r="I55" i="21"/>
  <c r="H55" i="21"/>
  <c r="G55" i="21"/>
  <c r="F55" i="21"/>
  <c r="E55" i="21"/>
  <c r="D55" i="21"/>
  <c r="C55" i="21"/>
  <c r="B55" i="21"/>
  <c r="N45" i="21"/>
  <c r="N44" i="21"/>
  <c r="M45" i="21"/>
  <c r="L45" i="21"/>
  <c r="K45" i="21"/>
  <c r="J45" i="21"/>
  <c r="I45" i="21"/>
  <c r="H45" i="21"/>
  <c r="G45" i="21"/>
  <c r="G44" i="21"/>
  <c r="G7" i="21"/>
  <c r="F45" i="21"/>
  <c r="F44" i="21"/>
  <c r="E45" i="21"/>
  <c r="D45" i="21"/>
  <c r="C45" i="21"/>
  <c r="C44" i="21"/>
  <c r="C7" i="21"/>
  <c r="B45" i="21"/>
  <c r="B44" i="21"/>
  <c r="J44" i="21"/>
  <c r="D44" i="21"/>
  <c r="N42" i="21"/>
  <c r="M42" i="21"/>
  <c r="L42" i="21"/>
  <c r="K42" i="21"/>
  <c r="J42" i="21"/>
  <c r="I42" i="21"/>
  <c r="I8" i="21"/>
  <c r="H42" i="21"/>
  <c r="G42" i="21"/>
  <c r="F42" i="21"/>
  <c r="E42" i="21"/>
  <c r="D42" i="21"/>
  <c r="C42" i="21"/>
  <c r="B42" i="21"/>
  <c r="N9" i="21"/>
  <c r="N8" i="21"/>
  <c r="N7" i="21"/>
  <c r="M9" i="21"/>
  <c r="M8" i="21"/>
  <c r="L9" i="21"/>
  <c r="K9" i="21"/>
  <c r="J9" i="21"/>
  <c r="I9" i="21"/>
  <c r="H9" i="21"/>
  <c r="G9" i="21"/>
  <c r="F9" i="21"/>
  <c r="F8" i="21"/>
  <c r="F7" i="21"/>
  <c r="E9" i="21"/>
  <c r="D9" i="21"/>
  <c r="C9" i="21"/>
  <c r="B9" i="21"/>
  <c r="B8" i="21"/>
  <c r="B7" i="21"/>
  <c r="K8" i="21"/>
  <c r="K7" i="21"/>
  <c r="J8" i="21"/>
  <c r="J7" i="21"/>
  <c r="G8" i="21"/>
  <c r="E8" i="21"/>
  <c r="C8" i="21"/>
  <c r="A6" i="21"/>
  <c r="N4" i="21"/>
  <c r="A2" i="21"/>
  <c r="N120" i="1"/>
  <c r="M120" i="1"/>
  <c r="L120" i="1"/>
  <c r="K120" i="1"/>
  <c r="J120" i="1"/>
  <c r="I120" i="1"/>
  <c r="H120" i="1"/>
  <c r="G120" i="1"/>
  <c r="F120" i="1"/>
  <c r="E120" i="1"/>
  <c r="D120" i="1"/>
  <c r="C120" i="1"/>
  <c r="B120" i="1"/>
  <c r="N117" i="1"/>
  <c r="M117" i="1"/>
  <c r="L117" i="1"/>
  <c r="K117" i="1"/>
  <c r="J117" i="1"/>
  <c r="I117" i="1"/>
  <c r="H117" i="1"/>
  <c r="H104" i="1"/>
  <c r="G117" i="1"/>
  <c r="F117" i="1"/>
  <c r="E117" i="1"/>
  <c r="D117" i="1"/>
  <c r="C117" i="1"/>
  <c r="B117" i="1"/>
  <c r="N115" i="1"/>
  <c r="M115" i="1"/>
  <c r="M104" i="1"/>
  <c r="L115" i="1"/>
  <c r="K115" i="1"/>
  <c r="J115" i="1"/>
  <c r="I115" i="1"/>
  <c r="I104" i="1"/>
  <c r="H115" i="1"/>
  <c r="G115" i="1"/>
  <c r="F115" i="1"/>
  <c r="E115" i="1"/>
  <c r="D115" i="1"/>
  <c r="C115" i="1"/>
  <c r="B115" i="1"/>
  <c r="N112" i="1"/>
  <c r="N104" i="1"/>
  <c r="M112" i="1"/>
  <c r="L112" i="1"/>
  <c r="K112" i="1"/>
  <c r="J112" i="1"/>
  <c r="J104" i="1"/>
  <c r="I112" i="1"/>
  <c r="H112" i="1"/>
  <c r="G112" i="1"/>
  <c r="F112" i="1"/>
  <c r="E112" i="1"/>
  <c r="D112" i="1"/>
  <c r="C112" i="1"/>
  <c r="B112" i="1"/>
  <c r="B104" i="1"/>
  <c r="N105" i="1"/>
  <c r="M105" i="1"/>
  <c r="L105" i="1"/>
  <c r="K105" i="1"/>
  <c r="K104" i="1"/>
  <c r="J105" i="1"/>
  <c r="I105" i="1"/>
  <c r="H105" i="1"/>
  <c r="G105" i="1"/>
  <c r="G104" i="1"/>
  <c r="F105" i="1"/>
  <c r="E105" i="1"/>
  <c r="E104" i="1"/>
  <c r="D105" i="1"/>
  <c r="D104" i="1"/>
  <c r="C105" i="1"/>
  <c r="C104" i="1"/>
  <c r="B105" i="1"/>
  <c r="L104" i="1"/>
  <c r="F104" i="1"/>
  <c r="N102" i="1"/>
  <c r="M102" i="1"/>
  <c r="L102" i="1"/>
  <c r="K102" i="1"/>
  <c r="J102" i="1"/>
  <c r="I102" i="1"/>
  <c r="H102" i="1"/>
  <c r="G102" i="1"/>
  <c r="F102" i="1"/>
  <c r="E102" i="1"/>
  <c r="D102" i="1"/>
  <c r="C102" i="1"/>
  <c r="B102" i="1"/>
  <c r="N100" i="1"/>
  <c r="M100" i="1"/>
  <c r="L100" i="1"/>
  <c r="K100" i="1"/>
  <c r="J100" i="1"/>
  <c r="I100" i="1"/>
  <c r="H100" i="1"/>
  <c r="G100" i="1"/>
  <c r="F100" i="1"/>
  <c r="E100" i="1"/>
  <c r="D100" i="1"/>
  <c r="C100" i="1"/>
  <c r="B100" i="1"/>
  <c r="N92" i="1"/>
  <c r="M92" i="1"/>
  <c r="L92" i="1"/>
  <c r="K92" i="1"/>
  <c r="J92" i="1"/>
  <c r="I92" i="1"/>
  <c r="H92" i="1"/>
  <c r="G92" i="1"/>
  <c r="F92" i="1"/>
  <c r="E92" i="1"/>
  <c r="D92" i="1"/>
  <c r="C92" i="1"/>
  <c r="B92" i="1"/>
  <c r="N85" i="1"/>
  <c r="M85" i="1"/>
  <c r="L85" i="1"/>
  <c r="K85" i="1"/>
  <c r="J85" i="1"/>
  <c r="I85" i="1"/>
  <c r="I61" i="1"/>
  <c r="I60" i="1"/>
  <c r="H85" i="1"/>
  <c r="G85" i="1"/>
  <c r="F85" i="1"/>
  <c r="E85" i="1"/>
  <c r="D85" i="1"/>
  <c r="C85" i="1"/>
  <c r="B85" i="1"/>
  <c r="N83" i="1"/>
  <c r="N61" i="1"/>
  <c r="N60" i="1"/>
  <c r="M83" i="1"/>
  <c r="L83" i="1"/>
  <c r="K83" i="1"/>
  <c r="J83" i="1"/>
  <c r="I83" i="1"/>
  <c r="H83" i="1"/>
  <c r="G83" i="1"/>
  <c r="F83" i="1"/>
  <c r="F61" i="1"/>
  <c r="F60" i="1"/>
  <c r="E83" i="1"/>
  <c r="D83" i="1"/>
  <c r="C83" i="1"/>
  <c r="B83" i="1"/>
  <c r="N72" i="1"/>
  <c r="M72" i="1"/>
  <c r="L72" i="1"/>
  <c r="K72" i="1"/>
  <c r="J72" i="1"/>
  <c r="J61" i="1"/>
  <c r="J60" i="1"/>
  <c r="I72" i="1"/>
  <c r="H72" i="1"/>
  <c r="G72" i="1"/>
  <c r="F72" i="1"/>
  <c r="E72" i="1"/>
  <c r="D72" i="1"/>
  <c r="C72" i="1"/>
  <c r="B72" i="1"/>
  <c r="N62" i="1"/>
  <c r="M62" i="1"/>
  <c r="L62" i="1"/>
  <c r="L61" i="1"/>
  <c r="L60" i="1"/>
  <c r="K62" i="1"/>
  <c r="J62" i="1"/>
  <c r="I62" i="1"/>
  <c r="H62" i="1"/>
  <c r="G62" i="1"/>
  <c r="F62" i="1"/>
  <c r="E62" i="1"/>
  <c r="E61" i="1"/>
  <c r="E60" i="1"/>
  <c r="D62" i="1"/>
  <c r="D61" i="1"/>
  <c r="C62" i="1"/>
  <c r="B62" i="1"/>
  <c r="M61" i="1"/>
  <c r="M60" i="1"/>
  <c r="H61" i="1"/>
  <c r="B61" i="1"/>
  <c r="B60" i="1"/>
  <c r="N58" i="1"/>
  <c r="M58" i="1"/>
  <c r="L58" i="1"/>
  <c r="K58" i="1"/>
  <c r="J58" i="1"/>
  <c r="J44" i="1"/>
  <c r="I58" i="1"/>
  <c r="H58" i="1"/>
  <c r="G58" i="1"/>
  <c r="F58" i="1"/>
  <c r="E58" i="1"/>
  <c r="D58" i="1"/>
  <c r="C58" i="1"/>
  <c r="B58" i="1"/>
  <c r="N50" i="1"/>
  <c r="M50" i="1"/>
  <c r="L50" i="1"/>
  <c r="K50" i="1"/>
  <c r="J50" i="1"/>
  <c r="I50" i="1"/>
  <c r="I44" i="1"/>
  <c r="I7" i="1"/>
  <c r="I6" i="1"/>
  <c r="H50" i="1"/>
  <c r="G50" i="1"/>
  <c r="F50" i="1"/>
  <c r="E50" i="1"/>
  <c r="D50" i="1"/>
  <c r="C50" i="1"/>
  <c r="C44" i="1"/>
  <c r="C7" i="1"/>
  <c r="B50" i="1"/>
  <c r="N45" i="1"/>
  <c r="N44" i="1"/>
  <c r="M45" i="1"/>
  <c r="L45" i="1"/>
  <c r="L44" i="1"/>
  <c r="K45" i="1"/>
  <c r="J45" i="1"/>
  <c r="I45" i="1"/>
  <c r="H45" i="1"/>
  <c r="H44" i="1"/>
  <c r="G45" i="1"/>
  <c r="F45" i="1"/>
  <c r="E45" i="1"/>
  <c r="D45" i="1"/>
  <c r="D44" i="1"/>
  <c r="C45" i="1"/>
  <c r="B45" i="1"/>
  <c r="M44" i="1"/>
  <c r="K44" i="1"/>
  <c r="G44" i="1"/>
  <c r="F44" i="1"/>
  <c r="E44" i="1"/>
  <c r="B44" i="1"/>
  <c r="N42" i="1"/>
  <c r="N8" i="1"/>
  <c r="N7" i="1"/>
  <c r="N6" i="1"/>
  <c r="M42" i="1"/>
  <c r="L42" i="1"/>
  <c r="K42" i="1"/>
  <c r="J42" i="1"/>
  <c r="J8" i="1"/>
  <c r="J7" i="1"/>
  <c r="J6" i="1"/>
  <c r="I42" i="1"/>
  <c r="H42" i="1"/>
  <c r="G42" i="1"/>
  <c r="F42" i="1"/>
  <c r="E42" i="1"/>
  <c r="D42" i="1"/>
  <c r="C42" i="1"/>
  <c r="B42" i="1"/>
  <c r="B8" i="1"/>
  <c r="B7" i="1"/>
  <c r="B6" i="1"/>
  <c r="N9" i="1"/>
  <c r="M9" i="1"/>
  <c r="L9" i="1"/>
  <c r="K9" i="1"/>
  <c r="K8" i="1"/>
  <c r="K7" i="1"/>
  <c r="J9" i="1"/>
  <c r="I9" i="1"/>
  <c r="H9" i="1"/>
  <c r="G9" i="1"/>
  <c r="G8" i="1"/>
  <c r="G7" i="1"/>
  <c r="F9" i="1"/>
  <c r="E9" i="1"/>
  <c r="D9" i="1"/>
  <c r="D8" i="1"/>
  <c r="D7" i="1"/>
  <c r="C9" i="1"/>
  <c r="C8" i="1"/>
  <c r="B9" i="1"/>
  <c r="M8" i="1"/>
  <c r="M7" i="1"/>
  <c r="L8" i="1"/>
  <c r="L7" i="1"/>
  <c r="I8" i="1"/>
  <c r="H8" i="1"/>
  <c r="H7" i="1"/>
  <c r="F8" i="1"/>
  <c r="F7" i="1"/>
  <c r="F6" i="1"/>
  <c r="E8" i="1"/>
  <c r="E7" i="1"/>
  <c r="A6" i="1"/>
  <c r="N4" i="1"/>
  <c r="N120" i="4"/>
  <c r="M120" i="4"/>
  <c r="L120" i="4"/>
  <c r="K120" i="4"/>
  <c r="J120" i="4"/>
  <c r="I120" i="4"/>
  <c r="H120" i="4"/>
  <c r="G120" i="4"/>
  <c r="F120" i="4"/>
  <c r="E120" i="4"/>
  <c r="D120" i="4"/>
  <c r="C120" i="4"/>
  <c r="B120" i="4"/>
  <c r="N117" i="4"/>
  <c r="M117" i="4"/>
  <c r="L117" i="4"/>
  <c r="K117" i="4"/>
  <c r="J117" i="4"/>
  <c r="I117" i="4"/>
  <c r="H117" i="4"/>
  <c r="G117" i="4"/>
  <c r="G104" i="4"/>
  <c r="F117" i="4"/>
  <c r="E117" i="4"/>
  <c r="D117" i="4"/>
  <c r="C117" i="4"/>
  <c r="B117" i="4"/>
  <c r="N115" i="4"/>
  <c r="M115" i="4"/>
  <c r="L115" i="4"/>
  <c r="L104" i="4"/>
  <c r="K115" i="4"/>
  <c r="J115" i="4"/>
  <c r="I115" i="4"/>
  <c r="H115" i="4"/>
  <c r="G115" i="4"/>
  <c r="F115" i="4"/>
  <c r="E115" i="4"/>
  <c r="D115" i="4"/>
  <c r="C115" i="4"/>
  <c r="B115" i="4"/>
  <c r="N112" i="4"/>
  <c r="M112" i="4"/>
  <c r="L112" i="4"/>
  <c r="K112" i="4"/>
  <c r="K104" i="4"/>
  <c r="J112" i="4"/>
  <c r="I112" i="4"/>
  <c r="H112" i="4"/>
  <c r="G112" i="4"/>
  <c r="F112" i="4"/>
  <c r="E112" i="4"/>
  <c r="E104" i="4"/>
  <c r="D112" i="4"/>
  <c r="C112" i="4"/>
  <c r="B112" i="4"/>
  <c r="N105" i="4"/>
  <c r="N104" i="4"/>
  <c r="M105" i="4"/>
  <c r="L105" i="4"/>
  <c r="K105" i="4"/>
  <c r="J105" i="4"/>
  <c r="J104" i="4"/>
  <c r="I105" i="4"/>
  <c r="H105" i="4"/>
  <c r="G105" i="4"/>
  <c r="F105" i="4"/>
  <c r="F104" i="4"/>
  <c r="E105" i="4"/>
  <c r="D105" i="4"/>
  <c r="C105" i="4"/>
  <c r="B105" i="4"/>
  <c r="B104" i="4"/>
  <c r="M104" i="4"/>
  <c r="I104" i="4"/>
  <c r="H104" i="4"/>
  <c r="D104" i="4"/>
  <c r="C104" i="4"/>
  <c r="N102" i="4"/>
  <c r="M102" i="4"/>
  <c r="L102" i="4"/>
  <c r="K102" i="4"/>
  <c r="J102" i="4"/>
  <c r="I102" i="4"/>
  <c r="H102" i="4"/>
  <c r="G102" i="4"/>
  <c r="F102" i="4"/>
  <c r="E102" i="4"/>
  <c r="D102" i="4"/>
  <c r="C102" i="4"/>
  <c r="B102" i="4"/>
  <c r="N100" i="4"/>
  <c r="M100" i="4"/>
  <c r="L100" i="4"/>
  <c r="K100" i="4"/>
  <c r="J100" i="4"/>
  <c r="I100" i="4"/>
  <c r="H100" i="4"/>
  <c r="G100" i="4"/>
  <c r="F100" i="4"/>
  <c r="E100" i="4"/>
  <c r="D100" i="4"/>
  <c r="C100" i="4"/>
  <c r="B100" i="4"/>
  <c r="N92" i="4"/>
  <c r="M92" i="4"/>
  <c r="L92" i="4"/>
  <c r="K92" i="4"/>
  <c r="J92" i="4"/>
  <c r="I92" i="4"/>
  <c r="H92" i="4"/>
  <c r="G92" i="4"/>
  <c r="F92" i="4"/>
  <c r="E92" i="4"/>
  <c r="D92" i="4"/>
  <c r="C92" i="4"/>
  <c r="B92" i="4"/>
  <c r="N85" i="4"/>
  <c r="M85" i="4"/>
  <c r="L85" i="4"/>
  <c r="K85" i="4"/>
  <c r="J85" i="4"/>
  <c r="I85" i="4"/>
  <c r="H85" i="4"/>
  <c r="G85" i="4"/>
  <c r="F85" i="4"/>
  <c r="E85" i="4"/>
  <c r="D85" i="4"/>
  <c r="C85" i="4"/>
  <c r="B85" i="4"/>
  <c r="N83" i="4"/>
  <c r="M83" i="4"/>
  <c r="L83" i="4"/>
  <c r="K83" i="4"/>
  <c r="K61" i="4"/>
  <c r="K60" i="4"/>
  <c r="J83" i="4"/>
  <c r="I83" i="4"/>
  <c r="H83" i="4"/>
  <c r="G83" i="4"/>
  <c r="G61" i="4"/>
  <c r="G60" i="4"/>
  <c r="F83" i="4"/>
  <c r="E83" i="4"/>
  <c r="D83" i="4"/>
  <c r="C83" i="4"/>
  <c r="C61" i="4"/>
  <c r="C60" i="4"/>
  <c r="B83" i="4"/>
  <c r="N72" i="4"/>
  <c r="M72" i="4"/>
  <c r="L72" i="4"/>
  <c r="K72" i="4"/>
  <c r="J72" i="4"/>
  <c r="I72" i="4"/>
  <c r="H72" i="4"/>
  <c r="G72" i="4"/>
  <c r="F72" i="4"/>
  <c r="E72" i="4"/>
  <c r="D72" i="4"/>
  <c r="C72" i="4"/>
  <c r="B72" i="4"/>
  <c r="N62" i="4"/>
  <c r="M62" i="4"/>
  <c r="M61" i="4"/>
  <c r="M60" i="4"/>
  <c r="L62" i="4"/>
  <c r="L61" i="4"/>
  <c r="L60" i="4"/>
  <c r="K62" i="4"/>
  <c r="J62" i="4"/>
  <c r="I62" i="4"/>
  <c r="I61" i="4"/>
  <c r="I60" i="4"/>
  <c r="H62" i="4"/>
  <c r="H61" i="4"/>
  <c r="H60" i="4"/>
  <c r="G62" i="4"/>
  <c r="F62" i="4"/>
  <c r="E62" i="4"/>
  <c r="E61" i="4"/>
  <c r="E60" i="4"/>
  <c r="D62" i="4"/>
  <c r="D61" i="4"/>
  <c r="D60" i="4"/>
  <c r="C62" i="4"/>
  <c r="B62" i="4"/>
  <c r="N61" i="4"/>
  <c r="N60" i="4"/>
  <c r="J61" i="4"/>
  <c r="J60" i="4"/>
  <c r="F61" i="4"/>
  <c r="F60" i="4"/>
  <c r="B61" i="4"/>
  <c r="B60" i="4"/>
  <c r="N58" i="4"/>
  <c r="M58" i="4"/>
  <c r="L58" i="4"/>
  <c r="L44" i="4"/>
  <c r="K58" i="4"/>
  <c r="J58" i="4"/>
  <c r="I58" i="4"/>
  <c r="H58" i="4"/>
  <c r="H44" i="4"/>
  <c r="G58" i="4"/>
  <c r="F58" i="4"/>
  <c r="E58" i="4"/>
  <c r="D58" i="4"/>
  <c r="D44" i="4"/>
  <c r="C58" i="4"/>
  <c r="B58" i="4"/>
  <c r="N50" i="4"/>
  <c r="M50" i="4"/>
  <c r="L50" i="4"/>
  <c r="K50" i="4"/>
  <c r="J50" i="4"/>
  <c r="I50" i="4"/>
  <c r="H50" i="4"/>
  <c r="G50" i="4"/>
  <c r="F50" i="4"/>
  <c r="E50" i="4"/>
  <c r="D50" i="4"/>
  <c r="C50" i="4"/>
  <c r="B50" i="4"/>
  <c r="N45" i="4"/>
  <c r="N44" i="4"/>
  <c r="M45" i="4"/>
  <c r="M44" i="4"/>
  <c r="L45" i="4"/>
  <c r="K45" i="4"/>
  <c r="J45" i="4"/>
  <c r="J44" i="4"/>
  <c r="I45" i="4"/>
  <c r="I44" i="4"/>
  <c r="H45" i="4"/>
  <c r="G45" i="4"/>
  <c r="F45" i="4"/>
  <c r="F44" i="4"/>
  <c r="E45" i="4"/>
  <c r="E44" i="4"/>
  <c r="D45" i="4"/>
  <c r="C45" i="4"/>
  <c r="B45" i="4"/>
  <c r="B44" i="4"/>
  <c r="K44" i="4"/>
  <c r="G44" i="4"/>
  <c r="C44" i="4"/>
  <c r="N42" i="4"/>
  <c r="M42" i="4"/>
  <c r="L42" i="4"/>
  <c r="K42" i="4"/>
  <c r="J42" i="4"/>
  <c r="I42" i="4"/>
  <c r="H42" i="4"/>
  <c r="G42" i="4"/>
  <c r="F42" i="4"/>
  <c r="E42" i="4"/>
  <c r="D42" i="4"/>
  <c r="C42" i="4"/>
  <c r="B42" i="4"/>
  <c r="N9" i="4"/>
  <c r="M9" i="4"/>
  <c r="M8" i="4"/>
  <c r="M7" i="4"/>
  <c r="M6" i="4"/>
  <c r="L9" i="4"/>
  <c r="L8" i="4"/>
  <c r="K9" i="4"/>
  <c r="J9" i="4"/>
  <c r="I9" i="4"/>
  <c r="I8" i="4"/>
  <c r="I7" i="4"/>
  <c r="I6" i="4"/>
  <c r="H9" i="4"/>
  <c r="H8" i="4"/>
  <c r="G9" i="4"/>
  <c r="F9" i="4"/>
  <c r="E9" i="4"/>
  <c r="E8" i="4"/>
  <c r="E7" i="4"/>
  <c r="E6" i="4"/>
  <c r="D9" i="4"/>
  <c r="D8" i="4"/>
  <c r="C9" i="4"/>
  <c r="B9" i="4"/>
  <c r="N8" i="4"/>
  <c r="N7" i="4"/>
  <c r="N6" i="4"/>
  <c r="K8" i="4"/>
  <c r="J8" i="4"/>
  <c r="J7" i="4"/>
  <c r="J6" i="4"/>
  <c r="G8" i="4"/>
  <c r="F8" i="4"/>
  <c r="F7" i="4"/>
  <c r="F6" i="4"/>
  <c r="C8" i="4"/>
  <c r="B8" i="4"/>
  <c r="B7" i="4"/>
  <c r="B6" i="4"/>
  <c r="K7" i="4"/>
  <c r="G7" i="4"/>
  <c r="G6" i="4"/>
  <c r="C7" i="4"/>
  <c r="A6" i="4"/>
  <c r="N4" i="4"/>
  <c r="K6" i="4"/>
  <c r="L6" i="1"/>
  <c r="G6" i="21"/>
  <c r="C7" i="14"/>
  <c r="M6" i="1"/>
  <c r="H6" i="21"/>
  <c r="C6" i="4"/>
  <c r="D7" i="4"/>
  <c r="D6" i="4"/>
  <c r="H7" i="4"/>
  <c r="H6" i="4"/>
  <c r="L7" i="4"/>
  <c r="L6" i="4"/>
  <c r="D60" i="1"/>
  <c r="D6" i="1"/>
  <c r="I7" i="21"/>
  <c r="B87" i="21"/>
  <c r="B6" i="21"/>
  <c r="K6" i="21"/>
  <c r="C87" i="21"/>
  <c r="C6" i="21"/>
  <c r="J87" i="21"/>
  <c r="J6" i="21"/>
  <c r="N87" i="21"/>
  <c r="N6" i="21"/>
  <c r="E7" i="21"/>
  <c r="E6" i="21"/>
  <c r="D7" i="16"/>
  <c r="C6" i="29"/>
  <c r="A2" i="17"/>
  <c r="A2" i="6"/>
  <c r="A3" i="65"/>
  <c r="A2" i="18"/>
  <c r="B6" i="45"/>
  <c r="H25" i="42"/>
  <c r="B25" i="42"/>
  <c r="H6" i="42"/>
  <c r="B6" i="42"/>
  <c r="A2" i="8"/>
  <c r="A2" i="19"/>
  <c r="A2" i="61"/>
  <c r="E6" i="1"/>
  <c r="M87" i="21"/>
  <c r="N87" i="22"/>
  <c r="E87" i="22"/>
  <c r="I87" i="22"/>
  <c r="M87" i="22"/>
  <c r="M6" i="22"/>
  <c r="D87" i="22"/>
  <c r="H87" i="22"/>
  <c r="L87" i="22"/>
  <c r="A2" i="12"/>
  <c r="D8" i="14"/>
  <c r="F18" i="49"/>
  <c r="E6" i="29"/>
  <c r="A2" i="1"/>
  <c r="D8" i="21"/>
  <c r="D7" i="21"/>
  <c r="D6" i="21"/>
  <c r="H8" i="21"/>
  <c r="H7" i="21"/>
  <c r="L8" i="21"/>
  <c r="L7" i="21"/>
  <c r="L6" i="21"/>
  <c r="I87" i="21"/>
  <c r="I6" i="21"/>
  <c r="F7" i="22"/>
  <c r="N7" i="22"/>
  <c r="E7" i="22"/>
  <c r="I7" i="22"/>
  <c r="M7" i="22"/>
  <c r="D7" i="22"/>
  <c r="L7" i="22"/>
  <c r="D44" i="22"/>
  <c r="H44" i="22"/>
  <c r="H7" i="22"/>
  <c r="L44" i="22"/>
  <c r="B87" i="22"/>
  <c r="B6" i="22"/>
  <c r="C104" i="22"/>
  <c r="G104" i="22"/>
  <c r="K104" i="22"/>
  <c r="C7" i="17"/>
  <c r="C8" i="14"/>
  <c r="B8" i="14"/>
  <c r="D6" i="30"/>
  <c r="B6" i="30"/>
  <c r="G10" i="68"/>
  <c r="G10" i="69"/>
  <c r="G10" i="49"/>
  <c r="G10" i="32"/>
  <c r="A10" i="32"/>
  <c r="N10" i="19"/>
  <c r="N10" i="61"/>
  <c r="D15" i="59"/>
  <c r="H60" i="1"/>
  <c r="H6" i="1"/>
  <c r="J87" i="22"/>
  <c r="J6" i="22"/>
  <c r="B7" i="14"/>
  <c r="A3" i="12"/>
  <c r="A3" i="43"/>
  <c r="A2" i="4"/>
  <c r="C61" i="1"/>
  <c r="C60" i="1"/>
  <c r="C6" i="1"/>
  <c r="G61" i="1"/>
  <c r="G60" i="1"/>
  <c r="G6" i="1"/>
  <c r="K61" i="1"/>
  <c r="K60" i="1"/>
  <c r="K6" i="1"/>
  <c r="E44" i="21"/>
  <c r="I44" i="21"/>
  <c r="M44" i="21"/>
  <c r="M7" i="21"/>
  <c r="F87" i="22"/>
  <c r="F6" i="22"/>
  <c r="C88" i="22"/>
  <c r="C87" i="22"/>
  <c r="C6" i="22"/>
  <c r="G88" i="22"/>
  <c r="G87" i="22"/>
  <c r="G6" i="22"/>
  <c r="K88" i="22"/>
  <c r="K87" i="22"/>
  <c r="K6" i="22"/>
  <c r="D81" i="14"/>
  <c r="D7" i="14"/>
  <c r="B59" i="16"/>
  <c r="F18" i="69"/>
  <c r="C7" i="30"/>
  <c r="G7" i="30"/>
  <c r="G6" i="30"/>
  <c r="E90" i="30"/>
  <c r="E6" i="30"/>
  <c r="C90" i="30"/>
  <c r="B6" i="29"/>
  <c r="F6" i="29"/>
  <c r="E26" i="42"/>
  <c r="I26" i="42"/>
  <c r="M26" i="42"/>
  <c r="C60" i="16"/>
  <c r="C59" i="16"/>
  <c r="C7" i="16"/>
  <c r="G4" i="30"/>
  <c r="G4" i="68"/>
  <c r="G4" i="69"/>
  <c r="G4" i="49"/>
  <c r="A6" i="23"/>
  <c r="A7" i="26"/>
  <c r="A18" i="68"/>
  <c r="A18" i="32"/>
  <c r="A6" i="32"/>
  <c r="A7" i="16"/>
  <c r="A26" i="42"/>
  <c r="A7" i="42"/>
  <c r="A24" i="3"/>
  <c r="C18" i="49"/>
  <c r="G18" i="49"/>
  <c r="C18" i="69"/>
  <c r="G18" i="69"/>
  <c r="G90" i="29"/>
  <c r="I6" i="26"/>
  <c r="D6" i="65"/>
  <c r="N23" i="42"/>
  <c r="N7" i="42"/>
  <c r="N4" i="42"/>
  <c r="H5" i="3"/>
  <c r="E15" i="59"/>
  <c r="B6" i="18"/>
  <c r="E25" i="42"/>
  <c r="E6" i="42"/>
  <c r="K6" i="45"/>
  <c r="J25" i="42"/>
  <c r="J6" i="42"/>
  <c r="D20" i="13"/>
  <c r="H20" i="13"/>
  <c r="D20" i="17"/>
  <c r="D7" i="17"/>
  <c r="B44" i="16"/>
  <c r="B8" i="16"/>
  <c r="B7" i="16"/>
  <c r="B6" i="49"/>
  <c r="F6" i="49"/>
  <c r="A18" i="49"/>
  <c r="B6" i="69"/>
  <c r="F6" i="69"/>
  <c r="A18" i="69"/>
  <c r="A6" i="68"/>
  <c r="G7" i="29"/>
  <c r="B5" i="23"/>
  <c r="G6" i="29"/>
  <c r="A10" i="8"/>
  <c r="A4" i="8"/>
  <c r="C6" i="30"/>
  <c r="L6" i="22"/>
  <c r="I6" i="22"/>
  <c r="M6" i="21"/>
  <c r="H6" i="22"/>
  <c r="E6" i="22"/>
  <c r="D6" i="22"/>
  <c r="N6" i="22"/>
  <c r="A10" i="19"/>
  <c r="A4" i="19"/>
</calcChain>
</file>

<file path=xl/sharedStrings.xml><?xml version="1.0" encoding="utf-8"?>
<sst xmlns="http://schemas.openxmlformats.org/spreadsheetml/2006/main" count="1259" uniqueCount="209">
  <si>
    <t>%</t>
  </si>
  <si>
    <t>Державний борг</t>
  </si>
  <si>
    <t>Гарантований державою борг</t>
  </si>
  <si>
    <t xml:space="preserve"> </t>
  </si>
  <si>
    <t>IS_CHART_DATA</t>
  </si>
  <si>
    <t>IS_OVDP</t>
  </si>
  <si>
    <t>FORMAT</t>
  </si>
  <si>
    <t>Державний та гарантований державою борг України</t>
  </si>
  <si>
    <t xml:space="preserve">    Державний борг</t>
  </si>
  <si>
    <t xml:space="preserve">      Державний внутрішній борг</t>
  </si>
  <si>
    <t xml:space="preserve">         в т.ч. ОВДП</t>
  </si>
  <si>
    <t xml:space="preserve">            ОВДП (10 - річні)</t>
  </si>
  <si>
    <t xml:space="preserve">            ОВДП (11 - річні)</t>
  </si>
  <si>
    <t xml:space="preserve">            ОВДП (12 - місячні)</t>
  </si>
  <si>
    <t xml:space="preserve">            ОВДП (12 - річні)</t>
  </si>
  <si>
    <t xml:space="preserve">            ОВДП (13 - річні)</t>
  </si>
  <si>
    <t xml:space="preserve">            ОВДП (14 - річні)</t>
  </si>
  <si>
    <t xml:space="preserve">            ОВДП (15 - річні)</t>
  </si>
  <si>
    <t xml:space="preserve">            ОВДП (16 - річні)</t>
  </si>
  <si>
    <t xml:space="preserve">            ОВДП (17 - річні)</t>
  </si>
  <si>
    <t xml:space="preserve">            ОВДП (18 - місячні)</t>
  </si>
  <si>
    <t xml:space="preserve">            ОВДП (18 - річні)</t>
  </si>
  <si>
    <t xml:space="preserve">            ОВДП (19 - річні)</t>
  </si>
  <si>
    <t xml:space="preserve">            ОВДП (2 - річні)</t>
  </si>
  <si>
    <t xml:space="preserve">            ОВДП (20 - річні)</t>
  </si>
  <si>
    <t xml:space="preserve">            ОВДП (21 - річні)</t>
  </si>
  <si>
    <t xml:space="preserve">            ОВДП (22 - річні)</t>
  </si>
  <si>
    <t xml:space="preserve">            ОВДП (23 - річні)</t>
  </si>
  <si>
    <t xml:space="preserve">            ОВДП (24 - річні)</t>
  </si>
  <si>
    <t xml:space="preserve">            ОВДП (25 - річні)</t>
  </si>
  <si>
    <t xml:space="preserve">            ОВДП (26 - річні)</t>
  </si>
  <si>
    <t xml:space="preserve">            ОВДП (27 - річні)</t>
  </si>
  <si>
    <t xml:space="preserve">            ОВДП (28 - річні)</t>
  </si>
  <si>
    <t xml:space="preserve">            ОВДП (29 - річні)</t>
  </si>
  <si>
    <t xml:space="preserve">            ОВДП (3 - місячні)</t>
  </si>
  <si>
    <t xml:space="preserve">            ОВДП (3 - річні)</t>
  </si>
  <si>
    <t xml:space="preserve">            ОВДП (30 - річні)</t>
  </si>
  <si>
    <t xml:space="preserve">            ОВДП (4 - річні)</t>
  </si>
  <si>
    <t xml:space="preserve">            ОВДП (5 - річні)</t>
  </si>
  <si>
    <t xml:space="preserve">            ОВДП (6 - місячні)</t>
  </si>
  <si>
    <t xml:space="preserve">            ОВДП (6 - річні)</t>
  </si>
  <si>
    <t xml:space="preserve">            ОВДП (7 - річні)</t>
  </si>
  <si>
    <t xml:space="preserve">            ОВДП (8 - річні)</t>
  </si>
  <si>
    <t xml:space="preserve">            ОВДП (9 - місячні)</t>
  </si>
  <si>
    <t xml:space="preserve">            ОВДП (9 - річні)</t>
  </si>
  <si>
    <t xml:space="preserve">      Державний зовнішній борг</t>
  </si>
  <si>
    <t xml:space="preserve">         в т.ч. ОЗДП</t>
  </si>
  <si>
    <t xml:space="preserve">   Гарантований борг</t>
  </si>
  <si>
    <t xml:space="preserve">      Гарантований внутрішній борг</t>
  </si>
  <si>
    <t xml:space="preserve">         в т.ч. Облігації</t>
  </si>
  <si>
    <t xml:space="preserve">      Гарантований зовнішній борг</t>
  </si>
  <si>
    <t>3</t>
  </si>
  <si>
    <t>2024.12.31-2024.12.31</t>
  </si>
  <si>
    <t>1</t>
  </si>
  <si>
    <t>2025-2029</t>
  </si>
  <si>
    <t>2029-13.01.2070</t>
  </si>
  <si>
    <t>тис.одиниць</t>
  </si>
  <si>
    <t>Внутрішній борг</t>
  </si>
  <si>
    <t>1. Заборгованість за випущеними цінними паперами на внутрішньому ринку</t>
  </si>
  <si>
    <t>ОВДП (10 - річні)</t>
  </si>
  <si>
    <t>ОВДП (11 - річні)</t>
  </si>
  <si>
    <t>ОВДП (12 - місячні)</t>
  </si>
  <si>
    <t>ОВДП (12 - річні)</t>
  </si>
  <si>
    <t>ОВДП (13 - річні)</t>
  </si>
  <si>
    <t>ОВДП (14 - річні)</t>
  </si>
  <si>
    <t>ОВДП (15 - річні)</t>
  </si>
  <si>
    <t>ОВДП (16 - річні)</t>
  </si>
  <si>
    <t>ОВДП (17 - річні)</t>
  </si>
  <si>
    <t>ОВДП (18 - місячні)</t>
  </si>
  <si>
    <t>ОВДП (18 - річні)</t>
  </si>
  <si>
    <t>ОВДП (19 - річні)</t>
  </si>
  <si>
    <t>ОВДП (2 - річні)</t>
  </si>
  <si>
    <t>ОВДП (20 - річні)</t>
  </si>
  <si>
    <t>ОВДП (21 - річні)</t>
  </si>
  <si>
    <t>ОВДП (22 - річні)</t>
  </si>
  <si>
    <t>ОВДП (23 - річні)</t>
  </si>
  <si>
    <t>ОВДП (24 - річні)</t>
  </si>
  <si>
    <t>ОВДП (25 - річні)</t>
  </si>
  <si>
    <t>ОВДП (26 - річні)</t>
  </si>
  <si>
    <t>ОВДП (27 - річні)</t>
  </si>
  <si>
    <t>ОВДП (28 - річні)</t>
  </si>
  <si>
    <t>ОВДП (29 - річні)</t>
  </si>
  <si>
    <t>ОВДП (3 - місячні)</t>
  </si>
  <si>
    <t>ОВДП (3 - річні)</t>
  </si>
  <si>
    <t>ОВДП (30 - річні)</t>
  </si>
  <si>
    <t>ОВДП (4 - річні)</t>
  </si>
  <si>
    <t>ОВДП (5 - річні)</t>
  </si>
  <si>
    <t>ОВДП (6 - місячні)</t>
  </si>
  <si>
    <t>ОВДП (6 - річні)</t>
  </si>
  <si>
    <t>ОВДП (7 - річні)</t>
  </si>
  <si>
    <t>ОВДП (8 - річні)</t>
  </si>
  <si>
    <t>ОВДП (9 - місячні)</t>
  </si>
  <si>
    <t>ОВДП (9 - річні)</t>
  </si>
  <si>
    <t>2. Заборгованість перед банківськими та іншими фінансовими установами</t>
  </si>
  <si>
    <t>Національний банк України</t>
  </si>
  <si>
    <t>Зовнішній борг</t>
  </si>
  <si>
    <t>1. Заборгованість за позиками, одержаними від міжнародних фінансових організацій</t>
  </si>
  <si>
    <t>NEFCO</t>
  </si>
  <si>
    <t>Банк розвитку Ради Європи</t>
  </si>
  <si>
    <t>Європейський банк реконструкції та розвитку</t>
  </si>
  <si>
    <t>Європейський Інвестиційний Банк</t>
  </si>
  <si>
    <t>Європейський Союз</t>
  </si>
  <si>
    <t>Міжнародна асоціація розвитку (МБРР)</t>
  </si>
  <si>
    <t>Міжнародний банк реконструкції та розвитку</t>
  </si>
  <si>
    <t>Міжнародний Валютний Фонд</t>
  </si>
  <si>
    <t>Фонд чистих технологій (МБРР)</t>
  </si>
  <si>
    <t>2.1. Заборгованість за позиками, одержаними від органів управління іноземних держав (крім неврегульованої від органів управління держави-агресора та/або такої, що оскаржується)</t>
  </si>
  <si>
    <t>Великобританія</t>
  </si>
  <si>
    <t>Італія</t>
  </si>
  <si>
    <t>Канада</t>
  </si>
  <si>
    <t>Нідерланди</t>
  </si>
  <si>
    <t>Німеччина</t>
  </si>
  <si>
    <t>Польща</t>
  </si>
  <si>
    <t>Республіка Корея</t>
  </si>
  <si>
    <t>США</t>
  </si>
  <si>
    <t>Франція</t>
  </si>
  <si>
    <t>Японія</t>
  </si>
  <si>
    <t>2.2 Неврегульована заборгованість за позиками, одержаними від органів управління держави-агресора, та/або така, що оскаржується</t>
  </si>
  <si>
    <t>Росія</t>
  </si>
  <si>
    <t>3. Заборгованість за позиками, одержаними від іноземних комерційних банків, інших іноземних фінансових установ</t>
  </si>
  <si>
    <t>Cargill</t>
  </si>
  <si>
    <t>Chase Manhattan Bank</t>
  </si>
  <si>
    <t>Citibank Europe PLC</t>
  </si>
  <si>
    <t>Credit Agricole Corporate and Investment Bank</t>
  </si>
  <si>
    <t>Deutsche Bank</t>
  </si>
  <si>
    <t>National Westminster Bank PLC</t>
  </si>
  <si>
    <t>4.1.Заборгованість за випущеними цінними паперами (крім неврегульованої та/або такої, що оскаржується)</t>
  </si>
  <si>
    <t>ОЗДП 2015 року</t>
  </si>
  <si>
    <t>ОЗДП 2016 року</t>
  </si>
  <si>
    <t>ОЗДП 2017 року</t>
  </si>
  <si>
    <t>ОЗДП 2018 року</t>
  </si>
  <si>
    <t>ОЗДП 2019 року</t>
  </si>
  <si>
    <t>ОЗДП 2020 року</t>
  </si>
  <si>
    <t>ОЗДП 2021 року</t>
  </si>
  <si>
    <t>ОЗДП 2024 року</t>
  </si>
  <si>
    <t>4.2.Неврегульована заборгованість за випущеними цінними паперами, та/або така, що оскаржується</t>
  </si>
  <si>
    <t>ОЗДП 2013 року</t>
  </si>
  <si>
    <t>5. Заборгованість, не віднесена до інших категорій</t>
  </si>
  <si>
    <t>Державні цінні папери</t>
  </si>
  <si>
    <t>Облігації ДІУ (10 - річні)</t>
  </si>
  <si>
    <t>Облігації ДІУ (7 - річні)</t>
  </si>
  <si>
    <t>Облігації Укравтодору (12 - місячні)</t>
  </si>
  <si>
    <t>Облігації Укравтодору (3 - річні)</t>
  </si>
  <si>
    <t>Облігації Укравтодору (4 - річні)</t>
  </si>
  <si>
    <t>Облігації Укравтодору (5 - річні)</t>
  </si>
  <si>
    <t>АБ "УКРГАЗБАНК"</t>
  </si>
  <si>
    <t>АТ "БАНК КРЕДИТ ДНІПРО"</t>
  </si>
  <si>
    <t>АТ "Державний експортно-імпортний банк України"</t>
  </si>
  <si>
    <t>АТ "Державний ощадний банк України"</t>
  </si>
  <si>
    <t>АТ "ПУМБ"</t>
  </si>
  <si>
    <t>АТ "ТАСКОМБАНК"</t>
  </si>
  <si>
    <t>ПАТ "Державний експортно-імпортний банк України"</t>
  </si>
  <si>
    <t>ПАТ "Державний ощадний банк України"</t>
  </si>
  <si>
    <t>Портфельні гарантії</t>
  </si>
  <si>
    <t>3. Заборгованість, не віднесена до інших категорій</t>
  </si>
  <si>
    <t>Інші кредитори</t>
  </si>
  <si>
    <t>Європейське співтоватиство з атомної енергії</t>
  </si>
  <si>
    <t>2. Заборгованість за позиками, одержаними від органів управління іноземних держав</t>
  </si>
  <si>
    <t>Експортно-імпортний банк Китаю</t>
  </si>
  <si>
    <t>Central Storage Safety Project Trust</t>
  </si>
  <si>
    <t>UniCredit Bank</t>
  </si>
  <si>
    <t>Державний банк розвитку КНР</t>
  </si>
  <si>
    <t>Експортно-імпортний банк Кореї</t>
  </si>
  <si>
    <t>4. Заборгованість за випущеними цінними паперами на зовнішньому ринку</t>
  </si>
  <si>
    <t>Облігації Укравтодору (7 - річні)</t>
  </si>
  <si>
    <t>Облігації Укренерго (5 - річні)</t>
  </si>
  <si>
    <t>Державний та гарантований державою борг України за станом на ReportDate 
(за ознакою умовності)</t>
  </si>
  <si>
    <t>Державний та гарантований державою борг України за станом на ReportDate 
(за типом боргу)</t>
  </si>
  <si>
    <t>Дата отчета</t>
  </si>
  <si>
    <t>31.12.2024</t>
  </si>
  <si>
    <t>Дата последнего погашения</t>
  </si>
  <si>
    <t>31.12.2062</t>
  </si>
  <si>
    <t>Единицы измерения</t>
  </si>
  <si>
    <t>Сессия</t>
  </si>
  <si>
    <t>5649ecde-63cf-45fc-8473-cb66a750b8ea</t>
  </si>
  <si>
    <t>SHORT</t>
  </si>
  <si>
    <t>UKR</t>
  </si>
  <si>
    <t>Локалізація звіту:</t>
  </si>
  <si>
    <t>%%</t>
  </si>
  <si>
    <t>Борг, по якому сплата відсотків здійснюється за плаваючими процентними ставками</t>
  </si>
  <si>
    <t>Борг, по якому сплата відсотків здійснюється за фіксованими процентними ставками</t>
  </si>
  <si>
    <t>EURIBOR</t>
  </si>
  <si>
    <t>SOFR</t>
  </si>
  <si>
    <t>SONIA</t>
  </si>
  <si>
    <t>TORF</t>
  </si>
  <si>
    <t>Індекс споживчих цін (СРІ)</t>
  </si>
  <si>
    <t>Облікова ставка НБУ</t>
  </si>
  <si>
    <t>Ставка МВФ</t>
  </si>
  <si>
    <t>Український індекс ставок за депозитами фізичних осіб</t>
  </si>
  <si>
    <t>Фіксована</t>
  </si>
  <si>
    <t>USD</t>
  </si>
  <si>
    <t>UAH</t>
  </si>
  <si>
    <t>Внутрішній борг за випущеними цінними паперами</t>
  </si>
  <si>
    <t>Внутрішній борг перед банківськими та іншими фінансовими установами</t>
  </si>
  <si>
    <t>Внутрішня заборгованість, не віднесена до інших категорій</t>
  </si>
  <si>
    <t>Зовнішній борг за випущеними цінними паперами</t>
  </si>
  <si>
    <t>Зовнішній борг за позиками, одержаними від іноземних комерційних банків, інших іноземних фінансових установ</t>
  </si>
  <si>
    <t>Зовнішній борг за позиками, одержаними від міжнародних фінансових організацій</t>
  </si>
  <si>
    <t>Зовнішній борг за позиками, одержаними від органів управління іноземних держав</t>
  </si>
  <si>
    <t>Зовнішній борг, не віднесений до інших категорій</t>
  </si>
  <si>
    <t>2</t>
  </si>
  <si>
    <t>Анг. фунт стерлінгів</t>
  </si>
  <si>
    <t>Долар США</t>
  </si>
  <si>
    <t>ЄВРО</t>
  </si>
  <si>
    <t>Канадський долар</t>
  </si>
  <si>
    <t>СПЗ</t>
  </si>
  <si>
    <t>Українська гривня</t>
  </si>
  <si>
    <t>Японська єна</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</si>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</sst>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
    <numFmt numFmtId="166" formatCode="dd\.mm\.yyyy;@"/>
  </numFmts>
  <fonts count="34" x14ac:knownFonts="1">
    <font>
      <sz val="10"/>
      <name val="Arial Cyr"/>
      <charset val="204"/>
    </font>
    <font>
      <sz val="10"/>
      <name val="Arial Cyr"/>
      <charset val="204"/>
    </font>
    <font>
      <i/>
      <sz val="10"/>
      <name val="Arial Cyr"/>
      <charset val="204"/>
    </font>
    <font>
      <sz val="8"/>
      <name val="Arial Cyr"/>
      <charset val="204"/>
    </font>
    <font>
      <sz val="10"/>
      <color indexed="8"/>
      <name val="Arial Cyr"/>
    </font>
    <font>
      <sz val="11"/>
      <color indexed="8"/>
      <name val="Arial Cyr"/>
    </font>
    <font>
      <b/>
      <sz val="14"/>
      <name val="Calibri"/>
      <family val="2"/>
      <charset val="204"/>
      <scheme val="minor"/>
    </font>
    <font>
      <sz val="11"/>
      <color theme="1"/>
      <name val="Calibri"/>
      <family val="2"/>
      <charset val="204"/>
      <scheme val="minor"/>
    </font>
    <font>
      <sz val="11"/>
      <color theme="0"/>
      <name val="Calibri"/>
      <family val="2"/>
      <charset val="204"/>
      <scheme val="minor"/>
    </font>
    <font>
      <sz val="10"/>
      <name val="Calibri"/>
      <family val="2"/>
      <charset val="204"/>
      <scheme val="minor"/>
    </font>
    <font>
      <sz val="8"/>
      <name val="Calibri"/>
      <family val="2"/>
      <charset val="204"/>
      <scheme val="minor"/>
    </font>
    <font>
      <b/>
      <sz val="10"/>
      <name val="Calibri"/>
      <family val="2"/>
      <charset val="204"/>
      <scheme val="minor"/>
    </font>
    <font>
      <i/>
      <sz val="10"/>
      <name val="Calibri"/>
      <family val="2"/>
      <charset val="204"/>
      <scheme val="minor"/>
    </font>
    <font>
      <sz val="10"/>
      <color indexed="8"/>
      <name val="Calibri"/>
      <family val="2"/>
      <charset val="204"/>
      <scheme val="minor"/>
    </font>
    <font>
      <b/>
      <i/>
      <sz val="12"/>
      <name val="Calibri"/>
      <family val="2"/>
      <charset val="204"/>
      <scheme val="minor"/>
    </font>
    <font>
      <sz val="14"/>
      <name val="Calibri"/>
      <family val="2"/>
      <charset val="204"/>
      <scheme val="minor"/>
    </font>
    <font>
      <i/>
      <sz val="11"/>
      <name val="Calibri"/>
      <family val="2"/>
      <charset val="204"/>
      <scheme val="minor"/>
    </font>
    <font>
      <b/>
      <i/>
      <sz val="10"/>
      <name val="Calibri"/>
      <family val="2"/>
      <charset val="204"/>
      <scheme val="minor"/>
    </font>
    <font>
      <sz val="10"/>
      <color theme="0"/>
      <name val="Calibri"/>
      <family val="2"/>
      <charset val="204"/>
      <scheme val="minor"/>
    </font>
    <font>
      <sz val="10.5"/>
      <name val="Calibri"/>
      <family val="2"/>
      <charset val="204"/>
      <scheme val="minor"/>
    </font>
    <font>
      <sz val="10.5"/>
      <color indexed="8"/>
      <name val="Calibri"/>
      <family val="2"/>
      <charset val="204"/>
      <scheme val="minor"/>
    </font>
    <font>
      <sz val="10"/>
      <color indexed="9"/>
      <name val="Calibri"/>
      <family val="2"/>
      <charset val="204"/>
      <scheme val="minor"/>
    </font>
    <font>
      <sz val="10"/>
      <color rgb="FF000000"/>
      <name val="Calibri"/>
      <family val="2"/>
      <charset val="204"/>
      <scheme val="minor"/>
    </font>
    <font>
      <b/>
      <sz val="10"/>
      <color indexed="8"/>
      <name val="Calibri"/>
      <family val="2"/>
      <charset val="204"/>
      <scheme val="minor"/>
    </font>
    <font>
      <b/>
      <sz val="12"/>
      <color theme="0"/>
      <name val="Calibri"/>
      <family val="2"/>
      <charset val="204"/>
      <scheme val="minor"/>
    </font>
    <font>
      <b/>
      <sz val="11"/>
      <name val="Calibri"/>
      <family val="2"/>
      <charset val="204"/>
      <scheme val="minor"/>
    </font>
    <font>
      <i/>
      <sz val="10"/>
      <color indexed="9"/>
      <name val="Calibri"/>
      <family val="2"/>
      <charset val="204"/>
      <scheme val="minor"/>
    </font>
    <font>
      <i/>
      <sz val="10"/>
      <color theme="0"/>
      <name val="Calibri"/>
      <family val="2"/>
      <charset val="204"/>
      <scheme val="minor"/>
    </font>
    <font>
      <b/>
      <sz val="11"/>
      <color rgb="FFFFFFFF"/>
      <name val="Calibri"/>
      <family val="2"/>
      <charset val="204"/>
      <scheme val="minor"/>
    </font>
    <font>
      <b/>
      <sz val="11"/>
      <color theme="1"/>
      <name val="Calibri"/>
      <family val="2"/>
      <charset val="204"/>
      <scheme val="minor"/>
    </font>
    <font>
      <sz val="10.5"/>
      <color theme="1"/>
      <name val="Calibri"/>
      <family val="2"/>
      <charset val="204"/>
      <scheme val="minor"/>
    </font>
    <font>
      <sz val="10.5"/>
      <color rgb="FF000000"/>
      <name val="Calibri"/>
      <family val="2"/>
      <charset val="204"/>
      <scheme val="minor"/>
    </font>
    <font>
      <sz val="11"/>
      <name val="Calibri"/>
      <family val="2"/>
      <charset val="204"/>
      <scheme val="minor"/>
    </font>
    <font>
      <b/>
      <sz val="12"/>
      <color rgb="FFFFFFFF"/>
      <name val="Calibri"/>
      <family val="2"/>
      <charset val="204"/>
      <scheme val="minor"/>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patternFill>
    </fill>
    <fill>
      <patternFill patternType="solid">
        <fgColor theme="5"/>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FF"/>
      </patternFill>
    </fill>
    <fill>
      <patternFill patternType="solid">
        <fgColor rgb="FF558ED5" tint="0.39997558519241921"/>
        <bgColor indexed="64"/>
      </patternFill>
    </fill>
    <fill>
      <patternFill patternType="solid">
        <fgColor rgb="FFC6D9F1" tint="0.79998168889431442"/>
        <bgColor indexed="64"/>
      </patternFill>
    </fill>
    <fill>
      <patternFill patternType="solid">
        <fgColor rgb="FFC6D9F1"/>
      </patternFill>
    </fill>
    <fill>
      <patternFill patternType="solid">
        <fgColor rgb="FF558ED5"/>
      </patternFill>
    </fill>
    <fill>
      <patternFill patternType="solid">
        <fgColor rgb="FF4F81BD"/>
      </patternFill>
    </fill>
    <fill>
      <patternFill patternType="solid">
        <fgColor rgb="FFB9CDE5" tint="0.59999389629810485"/>
        <bgColor indexed="65"/>
      </patternFill>
    </fill>
    <fill>
      <patternFill patternType="solid">
        <fgColor rgb="FFB9CDE5"/>
      </patternFill>
    </fill>
    <fill>
      <patternFill patternType="solid">
        <fgColor rgb="FFC0C0C0"/>
        <bgColor indexed="64"/>
      </patternFill>
    </fill>
    <fill>
      <patternFill patternType="solid">
        <fgColor rgb="FFDCE6F2" tint="0.79998168889431442"/>
        <bgColor indexed="65"/>
      </patternFill>
    </fill>
    <fill>
      <patternFill patternType="solid">
        <fgColor rgb="FFDCE6F2"/>
      </patternFill>
    </fill>
    <fill>
      <patternFill patternType="solid">
        <fgColor rgb="FFC0C0C0"/>
      </patternFill>
    </fill>
    <fill>
      <patternFill patternType="solid">
        <fgColor rgb="FFC6D9F1"/>
        <bgColor indexed="64"/>
      </patternFill>
    </fill>
    <fill>
      <patternFill patternType="solid">
        <fgColor rgb="FF4F81BD"/>
        <bgColor indexed="64"/>
      </patternFill>
    </fill>
    <fill>
      <patternFill patternType="solid">
        <fgColor rgb="FF4F81BD" tint="0.59999389629810485"/>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9" fontId="1" fillId="0" borderId="0" applyFont="0" applyFill="0" applyBorder="0" applyAlignment="0" applyProtection="0"/>
  </cellStyleXfs>
  <cellXfs count="291">
    <xf numFmtId="0" fontId="0" fillId="0" borderId="0" xfId="0"/>
    <xf numFmtId="0" fontId="6"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166" fontId="0" fillId="0" borderId="0" xfId="0" applyNumberFormat="1"/>
    <xf numFmtId="0" fontId="9" fillId="0" borderId="0" xfId="0" applyFont="1" applyAlignment="1">
      <alignment horizontal="center"/>
    </xf>
    <xf numFmtId="0" fontId="10" fillId="0" borderId="0" xfId="0" applyFont="1"/>
    <xf numFmtId="4" fontId="10" fillId="0" borderId="0" xfId="0" applyNumberFormat="1" applyFont="1"/>
    <xf numFmtId="4" fontId="10" fillId="0" borderId="0" xfId="0" applyNumberFormat="1" applyFont="1"/>
    <xf numFmtId="0" fontId="10" fillId="0" borderId="0" xfId="0" applyFont="1"/>
    <xf numFmtId="49" fontId="11" fillId="2" borderId="1" xfId="1" applyNumberFormat="1" applyFont="1" applyFill="1" applyBorder="1" applyAlignment="1">
      <alignment horizontal="center" vertical="center" wrapText="1"/>
    </xf>
    <xf numFmtId="166" fontId="11" fillId="2" borderId="1" xfId="1" applyNumberFormat="1" applyFont="1" applyFill="1" applyBorder="1" applyAlignment="1">
      <alignment horizontal="center" vertical="center"/>
    </xf>
    <xf numFmtId="0" fontId="11" fillId="0" borderId="0" xfId="1" applyFont="1" applyAlignment="1">
      <alignment horizontal="center" vertical="center"/>
    </xf>
    <xf numFmtId="0" fontId="12" fillId="0" borderId="0" xfId="1" applyNumberFormat="1" applyFont="1" applyAlignment="1">
      <alignment horizontal="center" vertical="center"/>
    </xf>
    <xf numFmtId="0" fontId="9" fillId="0" borderId="0" xfId="1" applyNumberFormat="1" applyFont="1" applyAlignment="1">
      <alignment horizontal="center" vertical="center"/>
    </xf>
    <xf numFmtId="0" fontId="9" fillId="0" borderId="0" xfId="1" applyNumberFormat="1" applyFont="1" applyAlignment="1">
      <alignment horizontal="center" vertical="center"/>
    </xf>
    <xf numFmtId="0" fontId="9" fillId="0" borderId="0" xfId="1" applyNumberFormat="1" applyFont="1" applyAlignment="1">
      <alignment horizontal="center" vertical="center"/>
    </xf>
    <xf numFmtId="4" fontId="13" fillId="2" borderId="1" xfId="0" applyNumberFormat="1" applyFont="1" applyFill="1" applyBorder="1" applyAlignment="1">
      <alignment horizontal="right" vertical="center"/>
    </xf>
    <xf numFmtId="0" fontId="10" fillId="0" borderId="0" xfId="0" applyNumberFormat="1" applyFont="1" applyAlignment="1">
      <alignment horizontal="center" vertical="center"/>
    </xf>
    <xf numFmtId="164" fontId="14" fillId="10" borderId="1" xfId="1" applyNumberFormat="1" applyFont="1" applyFill="1" applyBorder="1" applyAlignment="1">
      <alignment horizontal="right" vertical="center"/>
    </xf>
    <xf numFmtId="0" fontId="9" fillId="0" borderId="0" xfId="0" applyFont="1"/>
    <xf numFmtId="4" fontId="9" fillId="0" borderId="0" xfId="0" applyNumberFormat="1" applyFont="1"/>
    <xf numFmtId="0" fontId="11" fillId="0" borderId="0" xfId="0" applyFont="1"/>
    <xf numFmtId="4" fontId="9" fillId="0" borderId="0" xfId="0" applyNumberFormat="1" applyFont="1"/>
    <xf numFmtId="0" fontId="9" fillId="0" borderId="0" xfId="0" applyFont="1"/>
    <xf numFmtId="0" fontId="12" fillId="0" borderId="0" xfId="0" applyFont="1" applyAlignment="1">
      <alignment horizontal="right"/>
    </xf>
    <xf numFmtId="4" fontId="12" fillId="0" borderId="0" xfId="0" applyNumberFormat="1" applyFont="1" applyAlignment="1">
      <alignment horizontal="right"/>
    </xf>
    <xf numFmtId="0" fontId="15" fillId="0" borderId="0" xfId="0" applyFont="1" applyAlignment="1">
      <alignment horizontal="center"/>
    </xf>
    <xf numFmtId="0" fontId="15" fillId="0" borderId="0" xfId="0" applyFont="1"/>
    <xf numFmtId="0" fontId="16" fillId="0" borderId="0" xfId="1" applyNumberFormat="1" applyFont="1" applyFill="1" applyAlignment="1">
      <alignment horizontal="center" vertical="center"/>
    </xf>
    <xf numFmtId="49" fontId="17" fillId="3" borderId="1" xfId="1" applyNumberFormat="1" applyFont="1" applyFill="1" applyBorder="1" applyAlignment="1">
      <alignment horizontal="left" vertical="center"/>
    </xf>
    <xf numFmtId="166" fontId="11" fillId="0" borderId="1" xfId="1" applyNumberFormat="1" applyFont="1" applyBorder="1" applyAlignment="1">
      <alignment horizontal="center" vertical="center"/>
    </xf>
    <xf numFmtId="0" fontId="11" fillId="0" borderId="0" xfId="1" applyFont="1"/>
    <xf numFmtId="0" fontId="12" fillId="0" borderId="0" xfId="1" applyNumberFormat="1" applyFont="1"/>
    <xf numFmtId="0" fontId="12" fillId="0" borderId="0" xfId="1" applyNumberFormat="1" applyFont="1"/>
    <xf numFmtId="49" fontId="12" fillId="0" borderId="0" xfId="0" applyNumberFormat="1" applyFont="1" applyAlignment="1">
      <alignment horizontal="right"/>
    </xf>
    <xf numFmtId="0" fontId="9" fillId="0" borderId="0" xfId="0" applyNumberFormat="1" applyFont="1" applyAlignment="1">
      <alignment horizontal="center" vertical="center"/>
    </xf>
    <xf numFmtId="0" fontId="9" fillId="0" borderId="0" xfId="0" applyNumberFormat="1" applyFont="1"/>
    <xf numFmtId="0" fontId="9" fillId="0" borderId="0" xfId="0" applyNumberFormat="1" applyFont="1"/>
    <xf numFmtId="0" fontId="12" fillId="0" borderId="0" xfId="0" applyFont="1"/>
    <xf numFmtId="0" fontId="12" fillId="0" borderId="0" xfId="0" applyFont="1"/>
    <xf numFmtId="4" fontId="8" fillId="8" borderId="1" xfId="7" applyNumberFormat="1" applyFont="1" applyFill="1" applyBorder="1" applyAlignment="1">
      <alignment horizontal="right" vertical="center"/>
    </xf>
    <xf numFmtId="4" fontId="18" fillId="8" borderId="1" xfId="7" applyNumberFormat="1" applyFont="1" applyFill="1" applyBorder="1" applyAlignment="1">
      <alignment horizontal="right" vertical="center"/>
    </xf>
    <xf numFmtId="49" fontId="11" fillId="0" borderId="1" xfId="0" applyNumberFormat="1" applyFont="1" applyBorder="1"/>
    <xf numFmtId="166" fontId="11" fillId="0" borderId="1" xfId="0" applyNumberFormat="1" applyFont="1" applyBorder="1"/>
    <xf numFmtId="49" fontId="9" fillId="0" borderId="0" xfId="0" applyNumberFormat="1" applyFont="1"/>
    <xf numFmtId="49" fontId="9" fillId="0" borderId="1" xfId="0" applyNumberFormat="1" applyFont="1" applyBorder="1" applyAlignment="1">
      <alignment horizontal="left" indent="1"/>
    </xf>
    <xf numFmtId="4" fontId="9" fillId="0" borderId="1" xfId="0" applyNumberFormat="1" applyFont="1" applyBorder="1"/>
    <xf numFmtId="10" fontId="9" fillId="0" borderId="1" xfId="0" applyNumberFormat="1" applyFont="1" applyBorder="1"/>
    <xf numFmtId="49" fontId="18" fillId="8" borderId="1" xfId="7" applyNumberFormat="1" applyFont="1" applyFill="1" applyBorder="1"/>
    <xf numFmtId="4" fontId="18" fillId="8" borderId="1" xfId="7" applyNumberFormat="1" applyFont="1" applyFill="1" applyBorder="1"/>
    <xf numFmtId="0" fontId="9" fillId="0" borderId="0" xfId="0" applyFont="1" applyAlignment="1">
      <alignment horizontal="center" vertical="center"/>
    </xf>
    <xf numFmtId="0" fontId="12" fillId="0" borderId="1" xfId="0" applyFont="1" applyBorder="1" applyAlignment="1">
      <alignment horizontal="right"/>
    </xf>
    <xf numFmtId="0" fontId="9" fillId="0" borderId="1" xfId="0" applyFont="1" applyBorder="1"/>
    <xf numFmtId="0" fontId="12" fillId="0" borderId="1" xfId="0" applyFont="1" applyBorder="1"/>
    <xf numFmtId="49" fontId="11" fillId="2" borderId="1" xfId="1" applyNumberFormat="1" applyFont="1" applyFill="1" applyBorder="1" applyAlignment="1">
      <alignment horizontal="center" vertical="center"/>
    </xf>
    <xf numFmtId="10" fontId="13" fillId="2" borderId="1" xfId="0" applyNumberFormat="1" applyFont="1" applyFill="1" applyBorder="1" applyAlignment="1">
      <alignment horizontal="right" vertical="center"/>
    </xf>
    <xf numFmtId="0" fontId="9" fillId="0" borderId="0" xfId="0" applyFont="1" applyAlignment="1">
      <alignment horizontal="left" vertical="center"/>
    </xf>
    <xf numFmtId="0" fontId="11" fillId="0" borderId="1" xfId="1" applyFont="1" applyBorder="1" applyAlignment="1">
      <alignment horizontal="center" vertical="center"/>
    </xf>
    <xf numFmtId="0" fontId="9" fillId="0" borderId="0" xfId="1" applyNumberFormat="1" applyFont="1"/>
    <xf numFmtId="0" fontId="9" fillId="0" borderId="0" xfId="1" applyNumberFormat="1" applyFont="1"/>
    <xf numFmtId="10" fontId="9" fillId="0" borderId="0" xfId="0" applyNumberFormat="1" applyFont="1"/>
    <xf numFmtId="49" fontId="19" fillId="0" borderId="1" xfId="0" applyNumberFormat="1" applyFont="1" applyBorder="1" applyAlignment="1">
      <alignment horizontal="left" vertical="center"/>
    </xf>
    <xf numFmtId="4" fontId="20" fillId="2" borderId="1" xfId="0" applyNumberFormat="1" applyFont="1" applyFill="1" applyBorder="1" applyAlignment="1">
      <alignment horizontal="right" vertical="center"/>
    </xf>
    <xf numFmtId="10" fontId="20" fillId="2" borderId="1" xfId="0" applyNumberFormat="1" applyFont="1" applyFill="1" applyBorder="1" applyAlignment="1">
      <alignment horizontal="right" vertical="center"/>
    </xf>
    <xf numFmtId="10" fontId="12" fillId="0" borderId="0" xfId="0" applyNumberFormat="1" applyFont="1" applyAlignment="1">
      <alignment horizontal="right"/>
    </xf>
    <xf numFmtId="4" fontId="11" fillId="2" borderId="1" xfId="1" applyNumberFormat="1" applyFont="1" applyFill="1" applyBorder="1" applyAlignment="1">
      <alignment horizontal="center" vertical="center"/>
    </xf>
    <xf numFmtId="10" fontId="11" fillId="2" borderId="1" xfId="1" applyNumberFormat="1" applyFont="1" applyFill="1" applyBorder="1" applyAlignment="1">
      <alignment horizontal="center" vertical="center"/>
    </xf>
    <xf numFmtId="0" fontId="11" fillId="0" borderId="0" xfId="1" applyFont="1" applyAlignment="1">
      <alignment horizontal="right"/>
    </xf>
    <xf numFmtId="0" fontId="9" fillId="0" borderId="0" xfId="0" applyNumberFormat="1" applyFont="1" applyAlignment="1">
      <alignment horizontal="right"/>
    </xf>
    <xf numFmtId="10" fontId="9" fillId="0" borderId="0" xfId="0" applyNumberFormat="1" applyFont="1"/>
    <xf numFmtId="0" fontId="12" fillId="0" borderId="0" xfId="0" applyFont="1" applyAlignment="1">
      <alignment horizontal="left"/>
    </xf>
    <xf numFmtId="49" fontId="11" fillId="2" borderId="1" xfId="1" applyNumberFormat="1" applyFont="1" applyFill="1" applyBorder="1" applyAlignment="1">
      <alignment horizontal="left" vertical="center" wrapText="1"/>
    </xf>
    <xf numFmtId="0" fontId="9" fillId="0" borderId="0" xfId="0" applyFont="1" applyAlignment="1">
      <alignment horizontal="left"/>
    </xf>
    <xf numFmtId="4" fontId="21" fillId="0" borderId="0" xfId="0" applyNumberFormat="1" applyFont="1"/>
    <xf numFmtId="10" fontId="22" fillId="11" borderId="1" xfId="9" applyNumberFormat="1" applyFont="1" applyFill="1" applyBorder="1" applyAlignment="1">
      <alignment horizontal="right"/>
    </xf>
    <xf numFmtId="49" fontId="23" fillId="2" borderId="1" xfId="0" applyNumberFormat="1" applyFont="1" applyFill="1" applyBorder="1" applyAlignment="1">
      <alignment horizontal="center" vertical="center"/>
    </xf>
    <xf numFmtId="4" fontId="23" fillId="2" borderId="1" xfId="0" applyNumberFormat="1" applyFont="1" applyFill="1" applyBorder="1" applyAlignment="1">
      <alignment horizontal="center" vertical="center"/>
    </xf>
    <xf numFmtId="0" fontId="11" fillId="0" borderId="0" xfId="1" applyNumberFormat="1" applyFont="1" applyAlignment="1">
      <alignment horizontal="center" vertical="center"/>
    </xf>
    <xf numFmtId="49" fontId="11" fillId="2" borderId="1" xfId="1" applyNumberFormat="1" applyFont="1" applyFill="1" applyBorder="1" applyAlignment="1">
      <alignment wrapText="1"/>
    </xf>
    <xf numFmtId="0" fontId="11" fillId="0" borderId="0" xfId="1" applyNumberFormat="1" applyFont="1"/>
    <xf numFmtId="0" fontId="11" fillId="0" borderId="0" xfId="1" applyNumberFormat="1" applyFont="1"/>
    <xf numFmtId="164" fontId="24" fillId="8" borderId="1" xfId="7" applyNumberFormat="1" applyFont="1" applyFill="1" applyBorder="1" applyAlignment="1">
      <alignment horizontal="right" vertical="center"/>
    </xf>
    <xf numFmtId="10" fontId="24" fillId="8" borderId="1" xfId="9" applyNumberFormat="1" applyFont="1" applyFill="1" applyBorder="1" applyAlignment="1">
      <alignment horizontal="right" vertical="center"/>
    </xf>
    <xf numFmtId="164" fontId="8" fillId="8" borderId="1" xfId="7" applyNumberFormat="1" applyFont="1" applyFill="1" applyBorder="1" applyAlignment="1">
      <alignment horizontal="right" vertical="center"/>
    </xf>
    <xf numFmtId="10" fontId="8" fillId="8" borderId="1" xfId="9" applyNumberFormat="1" applyFont="1" applyFill="1" applyBorder="1" applyAlignment="1">
      <alignment horizontal="right" vertical="center"/>
    </xf>
    <xf numFmtId="4" fontId="24" fillId="8" borderId="1" xfId="7" applyNumberFormat="1" applyFont="1" applyFill="1" applyBorder="1" applyAlignment="1">
      <alignment horizontal="right" vertical="center"/>
    </xf>
    <xf numFmtId="4" fontId="11" fillId="2" borderId="1" xfId="1" applyNumberFormat="1" applyFont="1" applyFill="1" applyBorder="1" applyAlignment="1">
      <alignment horizontal="center"/>
    </xf>
    <xf numFmtId="10" fontId="11" fillId="2" borderId="1" xfId="1" applyNumberFormat="1" applyFont="1" applyFill="1" applyBorder="1" applyAlignment="1">
      <alignment horizontal="center"/>
    </xf>
    <xf numFmtId="4" fontId="8" fillId="8" borderId="1" xfId="7" applyNumberFormat="1" applyFont="1" applyFill="1" applyBorder="1" applyAlignment="1">
      <alignment horizontal="right"/>
    </xf>
    <xf numFmtId="165" fontId="9" fillId="0" borderId="0" xfId="0" applyNumberFormat="1" applyFont="1"/>
    <xf numFmtId="165" fontId="9" fillId="0" borderId="0" xfId="0" applyNumberFormat="1" applyFont="1"/>
    <xf numFmtId="165" fontId="12" fillId="0" borderId="0" xfId="0" applyNumberFormat="1" applyFont="1" applyAlignment="1">
      <alignment horizontal="right"/>
    </xf>
    <xf numFmtId="165" fontId="11" fillId="2" borderId="1" xfId="1" applyNumberFormat="1" applyFont="1" applyFill="1" applyBorder="1" applyAlignment="1">
      <alignment horizontal="center" vertical="center"/>
    </xf>
    <xf numFmtId="0" fontId="15" fillId="0" borderId="0" xfId="0" applyFont="1"/>
    <xf numFmtId="165" fontId="8" fillId="8" borderId="1" xfId="7" applyNumberFormat="1" applyFont="1" applyFill="1" applyBorder="1" applyAlignment="1">
      <alignment horizontal="right" vertical="center"/>
    </xf>
    <xf numFmtId="10" fontId="8" fillId="8" borderId="1" xfId="7" applyNumberFormat="1" applyFont="1" applyFill="1" applyBorder="1" applyAlignment="1">
      <alignment horizontal="right" vertical="center"/>
    </xf>
    <xf numFmtId="165" fontId="8" fillId="8" borderId="1" xfId="7" applyNumberFormat="1" applyFont="1" applyFill="1" applyBorder="1" applyAlignment="1">
      <alignment horizontal="right"/>
    </xf>
    <xf numFmtId="10" fontId="8" fillId="8" borderId="1" xfId="7" applyNumberFormat="1" applyFont="1" applyFill="1" applyBorder="1" applyAlignment="1">
      <alignment horizontal="right"/>
    </xf>
    <xf numFmtId="49" fontId="11" fillId="3" borderId="1" xfId="1" applyNumberFormat="1" applyFont="1" applyFill="1" applyBorder="1" applyAlignment="1">
      <alignment horizontal="left" vertical="center"/>
    </xf>
    <xf numFmtId="49" fontId="11" fillId="2" borderId="1" xfId="1" applyNumberFormat="1" applyFont="1" applyFill="1" applyBorder="1" applyAlignment="1">
      <alignment horizontal="left" vertical="center"/>
    </xf>
    <xf numFmtId="49" fontId="13" fillId="2" borderId="1" xfId="0" applyNumberFormat="1" applyFont="1" applyFill="1" applyBorder="1" applyAlignment="1">
      <alignment horizontal="left" vertical="center"/>
    </xf>
    <xf numFmtId="0" fontId="9" fillId="0" borderId="0" xfId="0" applyFont="1" applyAlignment="1">
      <alignment wrapText="1"/>
    </xf>
    <xf numFmtId="49" fontId="25" fillId="11" borderId="1" xfId="1" applyNumberFormat="1" applyFont="1" applyFill="1" applyBorder="1" applyAlignment="1">
      <alignment horizontal="left" vertical="center" indent="2"/>
    </xf>
    <xf numFmtId="164" fontId="25" fillId="11" borderId="1" xfId="1" applyNumberFormat="1" applyFont="1" applyFill="1" applyBorder="1" applyAlignment="1">
      <alignment horizontal="right" vertical="center"/>
    </xf>
    <xf numFmtId="10" fontId="25" fillId="11" borderId="1" xfId="9" applyNumberFormat="1" applyFont="1" applyFill="1" applyBorder="1" applyAlignment="1">
      <alignment horizontal="right" vertical="center"/>
    </xf>
    <xf numFmtId="10" fontId="22" fillId="11" borderId="1" xfId="9" applyNumberFormat="1" applyFont="1" applyFill="1" applyBorder="1" applyAlignment="1">
      <alignment horizontal="right" vertical="center"/>
    </xf>
    <xf numFmtId="49" fontId="11" fillId="11" borderId="1" xfId="1" applyNumberFormat="1" applyFont="1" applyFill="1" applyBorder="1" applyAlignment="1">
      <alignment horizontal="center" vertical="center" wrapText="1"/>
    </xf>
    <xf numFmtId="49" fontId="11" fillId="11" borderId="1" xfId="1" applyNumberFormat="1" applyFont="1" applyFill="1" applyBorder="1" applyAlignment="1">
      <alignment horizontal="center" vertical="center"/>
    </xf>
    <xf numFmtId="0" fontId="9" fillId="0" borderId="0" xfId="0" applyFont="1" applyAlignment="1">
      <alignment horizontal="right"/>
    </xf>
    <xf numFmtId="164" fontId="18" fillId="8" borderId="1" xfId="7" applyNumberFormat="1" applyFont="1" applyFill="1" applyBorder="1" applyAlignment="1">
      <alignment horizontal="right" vertical="center"/>
    </xf>
    <xf numFmtId="0" fontId="11" fillId="0" borderId="1" xfId="1" applyFont="1" applyBorder="1"/>
    <xf numFmtId="49" fontId="9" fillId="0" borderId="1" xfId="0" applyNumberFormat="1" applyFont="1" applyBorder="1" applyAlignment="1">
      <alignment horizontal="left" vertical="center" indent="1"/>
    </xf>
    <xf numFmtId="0" fontId="21" fillId="0" borderId="0" xfId="0" applyFont="1"/>
    <xf numFmtId="0" fontId="21" fillId="0" borderId="0" xfId="0" applyFont="1"/>
    <xf numFmtId="0" fontId="26" fillId="0" borderId="0" xfId="0" applyFont="1" applyAlignment="1">
      <alignment horizontal="right"/>
    </xf>
    <xf numFmtId="4" fontId="21" fillId="0" borderId="0" xfId="0" applyNumberFormat="1" applyFont="1" applyAlignment="1">
      <alignment horizontal="center" vertical="center"/>
    </xf>
    <xf numFmtId="164" fontId="24" fillId="12" borderId="1" xfId="8" applyNumberFormat="1" applyFont="1" applyFill="1" applyBorder="1" applyAlignment="1">
      <alignment horizontal="right" vertical="center"/>
    </xf>
    <xf numFmtId="10" fontId="24" fillId="12" borderId="1" xfId="9" applyNumberFormat="1" applyFont="1" applyFill="1" applyBorder="1" applyAlignment="1">
      <alignment horizontal="right" vertical="center"/>
    </xf>
    <xf numFmtId="164" fontId="24" fillId="13" borderId="1" xfId="8" applyNumberFormat="1" applyFont="1" applyFill="1" applyBorder="1" applyAlignment="1">
      <alignment horizontal="right" vertical="center"/>
    </xf>
    <xf numFmtId="10" fontId="24" fillId="13" borderId="1" xfId="9" applyNumberFormat="1" applyFont="1" applyFill="1" applyBorder="1" applyAlignment="1">
      <alignment horizontal="right" vertical="center"/>
    </xf>
    <xf numFmtId="164" fontId="8" fillId="13" borderId="1" xfId="8" applyNumberFormat="1" applyFont="1" applyFill="1" applyBorder="1" applyAlignment="1">
      <alignment horizontal="right" vertical="center"/>
    </xf>
    <xf numFmtId="10" fontId="8" fillId="13" borderId="1" xfId="9" applyNumberFormat="1" applyFont="1" applyFill="1" applyBorder="1" applyAlignment="1">
      <alignment horizontal="right" vertical="center"/>
    </xf>
    <xf numFmtId="4" fontId="8" fillId="13" borderId="1" xfId="8" applyNumberFormat="1" applyFont="1" applyFill="1" applyBorder="1" applyAlignment="1">
      <alignment horizontal="right" vertical="center"/>
    </xf>
    <xf numFmtId="10" fontId="8" fillId="13" borderId="1" xfId="8" applyNumberFormat="1" applyFont="1" applyFill="1" applyBorder="1" applyAlignment="1">
      <alignment horizontal="right" vertical="center"/>
    </xf>
    <xf numFmtId="0" fontId="18" fillId="0" borderId="0" xfId="1" applyNumberFormat="1" applyFont="1" applyAlignment="1">
      <alignment horizontal="center" vertical="center"/>
    </xf>
    <xf numFmtId="4" fontId="24" fillId="12" borderId="1" xfId="8" applyNumberFormat="1" applyFont="1" applyFill="1" applyBorder="1" applyAlignment="1">
      <alignment horizontal="right" vertical="center"/>
    </xf>
    <xf numFmtId="10" fontId="24" fillId="12" borderId="1" xfId="8" applyNumberFormat="1" applyFont="1" applyFill="1" applyBorder="1" applyAlignment="1">
      <alignment horizontal="right" vertical="center"/>
    </xf>
    <xf numFmtId="0" fontId="27" fillId="0" borderId="0" xfId="1" applyNumberFormat="1" applyFont="1" applyAlignment="1">
      <alignment horizontal="center" vertical="center"/>
    </xf>
    <xf numFmtId="164" fontId="8" fillId="12" borderId="1" xfId="8" applyNumberFormat="1" applyFont="1" applyFill="1" applyBorder="1" applyAlignment="1">
      <alignment horizontal="right"/>
    </xf>
    <xf numFmtId="10" fontId="8" fillId="12" borderId="1" xfId="9" applyNumberFormat="1" applyFont="1" applyFill="1" applyBorder="1" applyAlignment="1">
      <alignment horizontal="right"/>
    </xf>
    <xf numFmtId="0" fontId="27" fillId="0" borderId="0" xfId="1" applyNumberFormat="1" applyFont="1"/>
    <xf numFmtId="0" fontId="27" fillId="0" borderId="0" xfId="1" applyNumberFormat="1" applyFont="1"/>
    <xf numFmtId="0" fontId="27" fillId="0" borderId="0" xfId="1" applyNumberFormat="1" applyFont="1" applyAlignment="1">
      <alignment horizontal="right"/>
    </xf>
    <xf numFmtId="4" fontId="8" fillId="12" borderId="1" xfId="8" applyNumberFormat="1" applyFont="1" applyFill="1" applyBorder="1" applyAlignment="1">
      <alignment horizontal="right"/>
    </xf>
    <xf numFmtId="10" fontId="8" fillId="12" borderId="1" xfId="8" applyNumberFormat="1" applyFont="1" applyFill="1" applyBorder="1" applyAlignment="1">
      <alignment horizontal="right"/>
    </xf>
    <xf numFmtId="10" fontId="24" fillId="13" borderId="1" xfId="8" applyNumberFormat="1" applyFont="1" applyFill="1" applyBorder="1" applyAlignment="1">
      <alignment horizontal="right" vertical="center"/>
    </xf>
    <xf numFmtId="4" fontId="24" fillId="13" borderId="1" xfId="8" applyNumberFormat="1" applyFont="1" applyFill="1" applyBorder="1" applyAlignment="1">
      <alignment horizontal="right" vertical="center"/>
    </xf>
    <xf numFmtId="0" fontId="27" fillId="0" borderId="0" xfId="0" applyFont="1" applyAlignment="1">
      <alignment horizontal="right"/>
    </xf>
    <xf numFmtId="0" fontId="14" fillId="10" borderId="1" xfId="1" applyNumberFormat="1" applyFont="1" applyFill="1" applyBorder="1" applyAlignment="1">
      <alignment horizontal="left" vertical="center" wrapText="1"/>
    </xf>
    <xf numFmtId="0" fontId="24" fillId="12" borderId="1" xfId="8" applyNumberFormat="1" applyFont="1" applyFill="1" applyBorder="1" applyAlignment="1">
      <alignment horizontal="left" vertical="center"/>
    </xf>
    <xf numFmtId="0" fontId="11" fillId="2" borderId="1" xfId="1" applyNumberFormat="1" applyFont="1" applyFill="1" applyBorder="1" applyAlignment="1">
      <alignment horizontal="center" vertical="center"/>
    </xf>
    <xf numFmtId="0" fontId="24" fillId="8" borderId="1" xfId="7" applyNumberFormat="1" applyFont="1" applyFill="1" applyBorder="1" applyAlignment="1">
      <alignment horizontal="left" vertical="center"/>
    </xf>
    <xf numFmtId="0" fontId="24" fillId="13" borderId="1" xfId="8" applyNumberFormat="1" applyFont="1" applyFill="1" applyBorder="1" applyAlignment="1">
      <alignment horizontal="left" vertical="center"/>
    </xf>
    <xf numFmtId="49" fontId="0" fillId="0" borderId="0" xfId="0" applyNumberFormat="1"/>
    <xf numFmtId="0" fontId="0" fillId="0" borderId="0" xfId="0" applyAlignment="1">
      <alignment wrapText="1"/>
    </xf>
    <xf numFmtId="0" fontId="12" fillId="0" borderId="0" xfId="0" applyNumberFormat="1" applyFont="1" applyAlignment="1">
      <alignment horizontal="right"/>
    </xf>
    <xf numFmtId="0" fontId="18" fillId="8" borderId="1" xfId="7" applyNumberFormat="1" applyFont="1" applyFill="1" applyBorder="1" applyAlignment="1">
      <alignment horizontal="left" vertical="center" wrapText="1"/>
    </xf>
    <xf numFmtId="0" fontId="18" fillId="8" borderId="1" xfId="7" applyNumberFormat="1" applyFont="1" applyFill="1" applyBorder="1" applyAlignment="1">
      <alignment horizontal="left" vertical="center"/>
    </xf>
    <xf numFmtId="0" fontId="8" fillId="12" borderId="1" xfId="8" applyNumberFormat="1" applyFont="1" applyFill="1" applyBorder="1" applyAlignment="1">
      <alignment horizontal="left"/>
    </xf>
    <xf numFmtId="0" fontId="8" fillId="8" borderId="1" xfId="7" applyNumberFormat="1" applyFont="1" applyFill="1" applyBorder="1" applyAlignment="1">
      <alignment horizontal="left" vertical="center"/>
    </xf>
    <xf numFmtId="0" fontId="9" fillId="0" borderId="0" xfId="0" applyNumberFormat="1" applyFont="1" applyAlignment="1">
      <alignment horizontal="left"/>
    </xf>
    <xf numFmtId="0" fontId="8" fillId="8" borderId="1" xfId="7" applyNumberFormat="1" applyFont="1" applyFill="1" applyBorder="1" applyAlignment="1">
      <alignment horizontal="left"/>
    </xf>
    <xf numFmtId="0" fontId="8" fillId="13" borderId="1" xfId="8" applyNumberFormat="1" applyFont="1" applyFill="1" applyBorder="1" applyAlignment="1">
      <alignment horizontal="left" vertical="center"/>
    </xf>
    <xf numFmtId="0" fontId="8" fillId="13" borderId="1" xfId="8" applyNumberFormat="1" applyFont="1" applyFill="1" applyBorder="1" applyAlignment="1">
      <alignment horizontal="left" vertical="center"/>
    </xf>
    <xf numFmtId="0" fontId="23"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xf>
    <xf numFmtId="0" fontId="21" fillId="0" borderId="0" xfId="0" applyNumberFormat="1" applyFont="1" applyAlignment="1">
      <alignment horizontal="center" vertical="center"/>
    </xf>
    <xf numFmtId="49" fontId="13" fillId="11" borderId="1" xfId="0" applyNumberFormat="1" applyFont="1" applyFill="1" applyBorder="1" applyAlignment="1">
      <alignment horizontal="left" vertical="center" indent="1"/>
    </xf>
    <xf numFmtId="4" fontId="13" fillId="11" borderId="1" xfId="0" applyNumberFormat="1" applyFont="1" applyFill="1" applyBorder="1" applyAlignment="1">
      <alignment horizontal="right"/>
    </xf>
    <xf numFmtId="4" fontId="9" fillId="14" borderId="1" xfId="0" applyNumberFormat="1" applyFont="1" applyFill="1" applyBorder="1"/>
    <xf numFmtId="49" fontId="13" fillId="11" borderId="1" xfId="0" applyNumberFormat="1" applyFont="1" applyFill="1" applyBorder="1" applyAlignment="1">
      <alignment horizontal="left" indent="1"/>
    </xf>
    <xf numFmtId="10" fontId="13" fillId="11" borderId="1" xfId="0" applyNumberFormat="1" applyFont="1" applyFill="1" applyBorder="1" applyAlignment="1">
      <alignment horizontal="right"/>
    </xf>
    <xf numFmtId="10" fontId="9" fillId="14" borderId="1" xfId="0" applyNumberFormat="1" applyFont="1" applyFill="1" applyBorder="1"/>
    <xf numFmtId="4" fontId="13" fillId="11" borderId="1" xfId="0" applyNumberFormat="1" applyFont="1" applyFill="1" applyBorder="1" applyAlignment="1">
      <alignment horizontal="right" vertical="center"/>
    </xf>
    <xf numFmtId="4" fontId="9" fillId="14" borderId="1" xfId="0" applyNumberFormat="1" applyFont="1" applyFill="1" applyBorder="1" applyAlignment="1">
      <alignment horizontal="center" vertical="center"/>
    </xf>
    <xf numFmtId="49" fontId="28" fillId="15" borderId="1" xfId="8" applyNumberFormat="1" applyFont="1" applyFill="1" applyBorder="1" applyAlignment="1">
      <alignment horizontal="left" vertical="center" wrapText="1" indent="1"/>
    </xf>
    <xf numFmtId="164" fontId="28" fillId="15" borderId="1" xfId="8" applyNumberFormat="1" applyFont="1" applyFill="1" applyBorder="1" applyAlignment="1">
      <alignment horizontal="right" vertical="center"/>
    </xf>
    <xf numFmtId="49" fontId="29" fillId="16" borderId="1" xfId="6" applyNumberFormat="1" applyFont="1" applyFill="1" applyBorder="1" applyAlignment="1">
      <alignment horizontal="left" vertical="center" wrapText="1" indent="2"/>
    </xf>
    <xf numFmtId="164" fontId="29" fillId="16" borderId="1" xfId="6" applyNumberFormat="1" applyFont="1" applyFill="1" applyBorder="1" applyAlignment="1">
      <alignment horizontal="right" vertical="center"/>
    </xf>
    <xf numFmtId="49" fontId="9" fillId="11" borderId="1" xfId="1" applyNumberFormat="1" applyFont="1" applyFill="1" applyBorder="1" applyAlignment="1">
      <alignment horizontal="left" vertical="center" indent="3"/>
    </xf>
    <xf numFmtId="4" fontId="9" fillId="11" borderId="1" xfId="1" applyNumberFormat="1" applyFont="1" applyFill="1" applyBorder="1" applyAlignment="1">
      <alignment horizontal="right" vertical="center"/>
    </xf>
    <xf numFmtId="49" fontId="13" fillId="11" borderId="1" xfId="0" applyNumberFormat="1" applyFont="1" applyFill="1" applyBorder="1" applyAlignment="1">
      <alignment horizontal="left" vertical="center" indent="4"/>
    </xf>
    <xf numFmtId="0" fontId="9" fillId="14" borderId="1" xfId="0" applyFont="1" applyFill="1" applyBorder="1" applyAlignment="1">
      <alignment indent="4"/>
    </xf>
    <xf numFmtId="4" fontId="9" fillId="14" borderId="1" xfId="0" applyNumberFormat="1" applyFont="1" applyFill="1" applyBorder="1"/>
    <xf numFmtId="0" fontId="9" fillId="14" borderId="1" xfId="0" applyFont="1" applyFill="1" applyBorder="1" applyAlignment="1">
      <alignment indent="3"/>
    </xf>
    <xf numFmtId="0" fontId="25" fillId="17" borderId="1" xfId="0" applyFont="1" applyFill="1" applyBorder="1" applyAlignment="1">
      <alignment indent="2"/>
    </xf>
    <xf numFmtId="4" fontId="25" fillId="17" borderId="1" xfId="0" applyNumberFormat="1" applyFont="1" applyFill="1" applyBorder="1"/>
    <xf numFmtId="0" fontId="28" fillId="18" borderId="1" xfId="0" applyFont="1" applyFill="1" applyBorder="1" applyAlignment="1">
      <alignment indent="1"/>
    </xf>
    <xf numFmtId="4" fontId="28" fillId="18" borderId="1" xfId="0" applyNumberFormat="1" applyFont="1" applyFill="1" applyBorder="1"/>
    <xf numFmtId="49" fontId="28" fillId="19" borderId="1" xfId="7" applyNumberFormat="1" applyFont="1" applyFill="1" applyBorder="1" applyAlignment="1">
      <alignment horizontal="left" vertical="center" wrapText="1" indent="1"/>
    </xf>
    <xf numFmtId="164" fontId="28" fillId="19" borderId="1" xfId="7" applyNumberFormat="1" applyFont="1" applyFill="1" applyBorder="1" applyAlignment="1">
      <alignment horizontal="right" vertical="center"/>
    </xf>
    <xf numFmtId="49" fontId="29" fillId="20" borderId="1" xfId="5" applyNumberFormat="1" applyFont="1" applyFill="1" applyBorder="1" applyAlignment="1">
      <alignment horizontal="left" vertical="center" wrapText="1" indent="2"/>
    </xf>
    <xf numFmtId="164" fontId="29" fillId="20" borderId="1" xfId="5" applyNumberFormat="1" applyFont="1" applyFill="1" applyBorder="1" applyAlignment="1">
      <alignment horizontal="right" vertical="center"/>
    </xf>
    <xf numFmtId="0" fontId="25" fillId="21" borderId="1" xfId="0" applyFont="1" applyFill="1" applyBorder="1" applyAlignment="1">
      <alignment indent="2"/>
    </xf>
    <xf numFmtId="4" fontId="25" fillId="21" borderId="1" xfId="0" applyNumberFormat="1" applyFont="1" applyFill="1" applyBorder="1"/>
    <xf numFmtId="0" fontId="28" fillId="19" borderId="1" xfId="0" applyFont="1" applyFill="1" applyBorder="1" applyAlignment="1">
      <alignment indent="1"/>
    </xf>
    <xf numFmtId="4" fontId="28" fillId="19" borderId="1" xfId="0" applyNumberFormat="1" applyFont="1" applyFill="1" applyBorder="1"/>
    <xf numFmtId="49" fontId="25" fillId="22" borderId="1" xfId="1" applyNumberFormat="1" applyFont="1" applyFill="1" applyBorder="1" applyAlignment="1">
      <alignment horizontal="left" vertical="center" indent="1"/>
    </xf>
    <xf numFmtId="164" fontId="25" fillId="22" borderId="1" xfId="1" applyNumberFormat="1" applyFont="1" applyFill="1" applyBorder="1" applyAlignment="1">
      <alignment horizontal="right" vertical="center"/>
    </xf>
    <xf numFmtId="10" fontId="25" fillId="22" borderId="1" xfId="9" applyNumberFormat="1" applyFont="1" applyFill="1" applyBorder="1" applyAlignment="1">
      <alignment horizontal="right" vertical="center"/>
    </xf>
    <xf numFmtId="49" fontId="30" fillId="23" borderId="1" xfId="2" applyNumberFormat="1" applyFont="1" applyFill="1" applyBorder="1" applyAlignment="1">
      <alignment horizontal="left" vertical="center" indent="3"/>
    </xf>
    <xf numFmtId="164" fontId="30" fillId="23" borderId="1" xfId="2" applyNumberFormat="1" applyFont="1" applyFill="1" applyBorder="1" applyAlignment="1">
      <alignment horizontal="right" vertical="center"/>
    </xf>
    <xf numFmtId="10" fontId="30" fillId="23" borderId="1" xfId="9" applyNumberFormat="1" applyFont="1" applyFill="1" applyBorder="1" applyAlignment="1">
      <alignment horizontal="right" vertical="center"/>
    </xf>
    <xf numFmtId="49" fontId="22" fillId="11" borderId="1" xfId="0" applyNumberFormat="1" applyFont="1" applyFill="1" applyBorder="1" applyAlignment="1">
      <alignment horizontal="left" vertical="center" indent="4"/>
    </xf>
    <xf numFmtId="164" fontId="22" fillId="11" borderId="1" xfId="0" applyNumberFormat="1" applyFont="1" applyFill="1" applyBorder="1" applyAlignment="1">
      <alignment horizontal="right" vertical="center"/>
    </xf>
    <xf numFmtId="10" fontId="9" fillId="14" borderId="1" xfId="0" applyNumberFormat="1" applyFont="1" applyFill="1" applyBorder="1"/>
    <xf numFmtId="0" fontId="19" fillId="24" borderId="1" xfId="0" applyFont="1" applyFill="1" applyBorder="1" applyAlignment="1">
      <alignment indent="3"/>
    </xf>
    <xf numFmtId="4" fontId="19" fillId="24" borderId="1" xfId="0" applyNumberFormat="1" applyFont="1" applyFill="1" applyBorder="1"/>
    <xf numFmtId="10" fontId="19" fillId="24" borderId="1" xfId="0" applyNumberFormat="1" applyFont="1" applyFill="1" applyBorder="1"/>
    <xf numFmtId="0" fontId="25" fillId="14" borderId="1" xfId="0" applyFont="1" applyFill="1" applyBorder="1" applyAlignment="1">
      <alignment indent="2"/>
    </xf>
    <xf numFmtId="4" fontId="25" fillId="14" borderId="1" xfId="0" applyNumberFormat="1" applyFont="1" applyFill="1" applyBorder="1"/>
    <xf numFmtId="10" fontId="25" fillId="14" borderId="1" xfId="0" applyNumberFormat="1" applyFont="1" applyFill="1" applyBorder="1"/>
    <xf numFmtId="0" fontId="25" fillId="25" borderId="1" xfId="0" applyFont="1" applyFill="1" applyBorder="1" applyAlignment="1">
      <alignment indent="1"/>
    </xf>
    <xf numFmtId="4" fontId="25" fillId="25" borderId="1" xfId="0" applyNumberFormat="1" applyFont="1" applyFill="1" applyBorder="1"/>
    <xf numFmtId="10" fontId="25" fillId="25" borderId="1" xfId="0" applyNumberFormat="1" applyFont="1" applyFill="1" applyBorder="1"/>
    <xf numFmtId="49" fontId="30" fillId="16" borderId="1" xfId="3" applyNumberFormat="1" applyFont="1" applyFill="1" applyBorder="1" applyAlignment="1">
      <alignment horizontal="left" vertical="center" indent="3"/>
    </xf>
    <xf numFmtId="164" fontId="30" fillId="16" borderId="1" xfId="3" applyNumberFormat="1" applyFont="1" applyFill="1" applyBorder="1" applyAlignment="1">
      <alignment horizontal="right" vertical="center"/>
    </xf>
    <xf numFmtId="10" fontId="30" fillId="16" borderId="1" xfId="9" applyNumberFormat="1" applyFont="1" applyFill="1" applyBorder="1" applyAlignment="1">
      <alignment horizontal="right" vertical="center"/>
    </xf>
    <xf numFmtId="0" fontId="19" fillId="17" borderId="1" xfId="0" applyFont="1" applyFill="1" applyBorder="1" applyAlignment="1">
      <alignment indent="3"/>
    </xf>
    <xf numFmtId="4" fontId="19" fillId="17" borderId="1" xfId="0" applyNumberFormat="1" applyFont="1" applyFill="1" applyBorder="1"/>
    <xf numFmtId="10" fontId="19" fillId="17" borderId="1" xfId="0" applyNumberFormat="1" applyFont="1" applyFill="1" applyBorder="1"/>
    <xf numFmtId="49" fontId="31" fillId="26" borderId="1" xfId="0" applyNumberFormat="1" applyFont="1" applyFill="1" applyBorder="1" applyAlignment="1">
      <alignment horizontal="left" vertical="center" indent="3"/>
    </xf>
    <xf numFmtId="164" fontId="31" fillId="26" borderId="1" xfId="0" applyNumberFormat="1" applyFont="1" applyFill="1" applyBorder="1" applyAlignment="1">
      <alignment horizontal="right" vertical="center"/>
    </xf>
    <xf numFmtId="10" fontId="31" fillId="26" borderId="1" xfId="9" applyNumberFormat="1" applyFont="1" applyFill="1" applyBorder="1" applyAlignment="1">
      <alignment horizontal="right" vertical="center"/>
    </xf>
    <xf numFmtId="0" fontId="25" fillId="14" borderId="1" xfId="0" applyFont="1" applyFill="1" applyBorder="1" applyAlignment="1">
      <alignment wrapText="1" indent="2"/>
    </xf>
    <xf numFmtId="0" fontId="19" fillId="17" borderId="1" xfId="0" applyFont="1" applyFill="1" applyBorder="1" applyAlignment="1">
      <alignment wrapText="1" indent="3"/>
    </xf>
    <xf numFmtId="0" fontId="25" fillId="25" borderId="1" xfId="0" applyFont="1" applyFill="1" applyBorder="1" applyAlignment="1">
      <alignment wrapText="1" indent="1"/>
    </xf>
    <xf numFmtId="4" fontId="9" fillId="11" borderId="1" xfId="1" applyNumberFormat="1" applyFont="1" applyFill="1" applyBorder="1" applyAlignment="1">
      <alignment horizontal="right" vertical="center"/>
    </xf>
    <xf numFmtId="10" fontId="9" fillId="11" borderId="1" xfId="1" applyNumberFormat="1" applyFont="1" applyFill="1" applyBorder="1" applyAlignment="1">
      <alignment horizontal="right" vertical="center"/>
    </xf>
    <xf numFmtId="10" fontId="9" fillId="11" borderId="1" xfId="1" applyNumberFormat="1" applyFont="1" applyFill="1" applyBorder="1" applyAlignment="1">
      <alignment horizontal="right" vertical="center"/>
    </xf>
    <xf numFmtId="0" fontId="9" fillId="14" borderId="1" xfId="1" applyNumberFormat="1" applyFont="1" applyFill="1" applyBorder="1" applyAlignment="1">
      <alignment horizontal="center" vertical="center" indent="3"/>
    </xf>
    <xf numFmtId="49" fontId="7" fillId="16" borderId="1" xfId="6" applyNumberFormat="1" applyFont="1" applyFill="1" applyBorder="1" applyAlignment="1">
      <alignment horizontal="left" vertical="center" indent="1"/>
    </xf>
    <xf numFmtId="4" fontId="7" fillId="16" borderId="1" xfId="6" applyNumberFormat="1" applyFont="1" applyFill="1" applyBorder="1" applyAlignment="1">
      <alignment horizontal="right" vertical="center"/>
    </xf>
    <xf numFmtId="10" fontId="7" fillId="16" borderId="1" xfId="6" applyNumberFormat="1" applyFont="1" applyFill="1" applyBorder="1" applyAlignment="1">
      <alignment horizontal="right" vertical="center"/>
    </xf>
    <xf numFmtId="0" fontId="32" fillId="17" borderId="1" xfId="0" applyFont="1" applyFill="1" applyBorder="1" applyAlignment="1">
      <alignment indent="1"/>
    </xf>
    <xf numFmtId="4" fontId="32" fillId="17" borderId="1" xfId="0" applyNumberFormat="1" applyFont="1" applyFill="1" applyBorder="1"/>
    <xf numFmtId="10" fontId="32" fillId="17" borderId="1" xfId="0" applyNumberFormat="1" applyFont="1" applyFill="1" applyBorder="1"/>
    <xf numFmtId="10" fontId="13" fillId="11"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28" borderId="1" xfId="4" applyFont="1" applyFill="1" applyBorder="1"/>
    <xf numFmtId="4" fontId="33" fillId="28" borderId="1" xfId="4" applyNumberFormat="1" applyFont="1" applyFill="1" applyBorder="1"/>
    <xf numFmtId="0" fontId="33" fillId="19" borderId="1" xfId="0" applyFont="1" applyFill="1" applyBorder="1"/>
    <xf numFmtId="4" fontId="33" fillId="19" borderId="1" xfId="0" applyNumberFormat="1" applyFont="1" applyFill="1" applyBorder="1"/>
    <xf numFmtId="49" fontId="20" fillId="11" borderId="1" xfId="0" applyNumberFormat="1" applyFont="1" applyFill="1" applyBorder="1" applyAlignment="1">
      <alignment horizontal="left" vertical="center" indent="1"/>
    </xf>
    <xf numFmtId="4" fontId="20" fillId="11" borderId="1" xfId="0" applyNumberFormat="1" applyFont="1" applyFill="1" applyBorder="1" applyAlignment="1">
      <alignment horizontal="right" vertical="center"/>
    </xf>
    <xf numFmtId="10" fontId="20" fillId="11" borderId="1" xfId="0" applyNumberFormat="1" applyFont="1" applyFill="1" applyBorder="1" applyAlignment="1">
      <alignment horizontal="right" vertical="center"/>
    </xf>
    <xf numFmtId="0" fontId="9" fillId="14" borderId="1" xfId="0" applyFont="1" applyFill="1" applyBorder="1" applyAlignment="1">
      <alignment indent="1"/>
    </xf>
    <xf numFmtId="49" fontId="7" fillId="16" borderId="1" xfId="6" applyNumberFormat="1" applyFont="1" applyFill="1" applyBorder="1" applyAlignment="1">
      <alignment horizontal="left" indent="1"/>
    </xf>
    <xf numFmtId="164" fontId="7" fillId="16" borderId="1" xfId="6" applyNumberFormat="1" applyFont="1" applyFill="1" applyBorder="1" applyAlignment="1">
      <alignment horizontal="right"/>
    </xf>
    <xf numFmtId="10" fontId="7" fillId="16" borderId="1" xfId="9" applyNumberFormat="1" applyFont="1" applyFill="1" applyBorder="1" applyAlignment="1">
      <alignment horizontal="right"/>
    </xf>
    <xf numFmtId="49" fontId="13" fillId="11" borderId="1" xfId="0" applyNumberFormat="1" applyFont="1" applyFill="1" applyBorder="1" applyAlignment="1">
      <alignment horizontal="left" indent="2"/>
    </xf>
    <xf numFmtId="0" fontId="9" fillId="14" borderId="1" xfId="0" applyFont="1" applyFill="1" applyBorder="1" applyAlignment="1">
      <alignment horizontal="left" indent="1"/>
    </xf>
    <xf numFmtId="49" fontId="22" fillId="11" borderId="1" xfId="0" applyNumberFormat="1" applyFont="1" applyFill="1" applyBorder="1" applyAlignment="1">
      <alignment horizontal="left" indent="2"/>
    </xf>
    <xf numFmtId="164" fontId="22" fillId="11" borderId="1" xfId="0" applyNumberFormat="1" applyFont="1" applyFill="1" applyBorder="1" applyAlignment="1">
      <alignment horizontal="right"/>
    </xf>
    <xf numFmtId="0" fontId="9" fillId="14" borderId="1" xfId="0" applyFont="1" applyFill="1" applyBorder="1" applyAlignment="1">
      <alignment horizontal="left" indent="2"/>
    </xf>
    <xf numFmtId="0" fontId="32" fillId="17" borderId="1" xfId="0" applyFont="1" applyFill="1" applyBorder="1" applyAlignment="1">
      <alignment horizontal="left" indent="1"/>
    </xf>
    <xf numFmtId="4" fontId="13" fillId="14" borderId="1" xfId="0" applyNumberFormat="1" applyFont="1" applyFill="1" applyBorder="1" applyAlignment="1">
      <alignment horizontal="right" vertical="center"/>
    </xf>
    <xf numFmtId="4" fontId="13" fillId="14" borderId="1" xfId="0" applyNumberFormat="1" applyFont="1" applyFill="1" applyBorder="1" applyAlignment="1">
      <alignment horizontal="right" vertical="center"/>
    </xf>
    <xf numFmtId="4" fontId="7" fillId="16" borderId="1" xfId="6" applyNumberFormat="1" applyFont="1" applyFill="1" applyBorder="1" applyAlignment="1">
      <alignment horizontal="right"/>
    </xf>
    <xf numFmtId="10" fontId="7" fillId="16" borderId="1" xfId="6" applyNumberFormat="1" applyFont="1" applyFill="1" applyBorder="1" applyAlignment="1">
      <alignment horizontal="right"/>
    </xf>
    <xf numFmtId="0" fontId="9" fillId="14" borderId="1" xfId="0" applyFont="1" applyFill="1" applyBorder="1" applyAlignment="1">
      <alignment indent="2"/>
    </xf>
    <xf numFmtId="49" fontId="7" fillId="20" borderId="1" xfId="4" applyNumberFormat="1" applyFont="1" applyFill="1" applyBorder="1" applyAlignment="1">
      <alignment horizontal="left" indent="1"/>
    </xf>
    <xf numFmtId="164" fontId="7" fillId="20" borderId="1" xfId="4" applyNumberFormat="1" applyFont="1" applyFill="1" applyBorder="1" applyAlignment="1">
      <alignment horizontal="right"/>
    </xf>
    <xf numFmtId="10" fontId="7" fillId="20" borderId="1" xfId="9" applyNumberFormat="1" applyFont="1" applyFill="1" applyBorder="1" applyAlignment="1">
      <alignment horizontal="right"/>
    </xf>
    <xf numFmtId="0" fontId="32" fillId="21" borderId="1" xfId="0" applyFont="1" applyFill="1" applyBorder="1" applyAlignment="1">
      <alignment indent="1"/>
    </xf>
    <xf numFmtId="4" fontId="32" fillId="21" borderId="1" xfId="0" applyNumberFormat="1" applyFont="1" applyFill="1" applyBorder="1"/>
    <xf numFmtId="10" fontId="32" fillId="21" borderId="1" xfId="0" applyNumberFormat="1" applyFont="1" applyFill="1" applyBorder="1"/>
    <xf numFmtId="4" fontId="7" fillId="20" borderId="1" xfId="4" applyNumberFormat="1" applyFont="1" applyFill="1" applyBorder="1" applyAlignment="1">
      <alignment horizontal="right"/>
    </xf>
    <xf numFmtId="4" fontId="9" fillId="14" borderId="1" xfId="0" applyNumberFormat="1" applyFont="1" applyFill="1" applyBorder="1" applyAlignment="1">
      <alignment horizontal="right"/>
    </xf>
    <xf numFmtId="10" fontId="9" fillId="14" borderId="1" xfId="0" applyNumberFormat="1" applyFont="1" applyFill="1" applyBorder="1" applyAlignment="1">
      <alignment horizontal="right"/>
    </xf>
    <xf numFmtId="165" fontId="13" fillId="11" borderId="1" xfId="0" applyNumberFormat="1" applyFont="1" applyFill="1" applyBorder="1" applyAlignment="1">
      <alignment horizontal="right" vertical="center"/>
    </xf>
    <xf numFmtId="165" fontId="9" fillId="14" borderId="1" xfId="0" applyNumberFormat="1" applyFont="1" applyFill="1" applyBorder="1"/>
    <xf numFmtId="165" fontId="7" fillId="20" borderId="1" xfId="4" applyNumberFormat="1" applyFont="1" applyFill="1" applyBorder="1" applyAlignment="1">
      <alignment horizontal="right"/>
    </xf>
    <xf numFmtId="10" fontId="7" fillId="20" borderId="1" xfId="4" applyNumberFormat="1" applyFont="1" applyFill="1" applyBorder="1" applyAlignment="1">
      <alignment horizontal="right"/>
    </xf>
    <xf numFmtId="165" fontId="13" fillId="11" borderId="1" xfId="0" applyNumberFormat="1" applyFont="1" applyFill="1" applyBorder="1" applyAlignment="1">
      <alignment horizontal="right"/>
    </xf>
    <xf numFmtId="165" fontId="32" fillId="21" borderId="1" xfId="0" applyNumberFormat="1" applyFont="1" applyFill="1" applyBorder="1"/>
    <xf numFmtId="0" fontId="33" fillId="3" borderId="1" xfId="7" applyNumberFormat="1" applyFont="1" applyFill="1" applyBorder="1" applyAlignment="1">
      <alignment horizontal="left" vertical="center"/>
    </xf>
    <xf numFmtId="4" fontId="33" fillId="3" borderId="1" xfId="7" applyNumberFormat="1" applyFont="1" applyFill="1" applyBorder="1" applyAlignment="1">
      <alignment horizontal="right" vertical="center"/>
    </xf>
    <xf numFmtId="164" fontId="33" fillId="3" borderId="1" xfId="0" applyNumberFormat="1" applyFont="1" applyFill="1" applyBorder="1" applyAlignment="1">
      <alignment horizontal="right" vertical="center"/>
    </xf>
    <xf numFmtId="0" fontId="33" fillId="19" borderId="1" xfId="0" applyFont="1" applyFill="1" applyBorder="1"/>
    <xf numFmtId="4" fontId="33" fillId="19" borderId="1" xfId="0" applyNumberFormat="1" applyFont="1" applyFill="1" applyBorder="1"/>
    <xf numFmtId="0" fontId="33" fillId="27" borderId="1" xfId="0" applyFont="1" applyFill="1" applyBorder="1"/>
    <xf numFmtId="0" fontId="33" fillId="19" borderId="1" xfId="0" applyFont="1" applyFill="1" applyBorder="1"/>
    <xf numFmtId="4" fontId="33" fillId="19" borderId="1" xfId="0" applyNumberFormat="1" applyFont="1" applyFill="1" applyBorder="1"/>
    <xf numFmtId="0" fontId="6" fillId="0" borderId="0" xfId="0" applyFont="1" applyAlignment="1">
      <alignment horizontal="center" vertical="center"/>
    </xf>
    <xf numFmtId="0" fontId="6" fillId="0" borderId="0" xfId="0" applyFont="1" applyAlignment="1">
      <alignment horizontal="center" wrapText="1"/>
    </xf>
    <xf numFmtId="0" fontId="15" fillId="0" borderId="0" xfId="0" applyFont="1"/>
    <xf numFmtId="0" fontId="11" fillId="0" borderId="0" xfId="0" applyFont="1" applyAlignment="1">
      <alignment horizontal="center"/>
    </xf>
    <xf numFmtId="0" fontId="6" fillId="0" borderId="0" xfId="0" applyFont="1" applyAlignment="1">
      <alignment horizontal="center"/>
    </xf>
    <xf numFmtId="166" fontId="23" fillId="2" borderId="2" xfId="0" applyNumberFormat="1" applyFont="1" applyFill="1" applyBorder="1" applyAlignment="1">
      <alignment horizontal="center" vertical="center"/>
    </xf>
    <xf numFmtId="166" fontId="23" fillId="2" borderId="3" xfId="0" applyNumberFormat="1" applyFont="1" applyFill="1" applyBorder="1" applyAlignment="1">
      <alignment horizontal="center" vertical="center"/>
    </xf>
    <xf numFmtId="166" fontId="23" fillId="2" borderId="4" xfId="0" applyNumberFormat="1" applyFont="1" applyFill="1" applyBorder="1" applyAlignment="1">
      <alignment horizontal="center" vertical="center"/>
    </xf>
    <xf numFmtId="14" fontId="23" fillId="2" borderId="2" xfId="0" applyNumberFormat="1" applyFont="1" applyFill="1" applyBorder="1" applyAlignment="1">
      <alignment horizontal="center" vertical="center"/>
    </xf>
    <xf numFmtId="14" fontId="23" fillId="2" borderId="3" xfId="0" applyNumberFormat="1" applyFont="1" applyFill="1" applyBorder="1" applyAlignment="1">
      <alignment horizontal="center" vertical="center"/>
    </xf>
    <xf numFmtId="14" fontId="23" fillId="2" borderId="4" xfId="0" applyNumberFormat="1" applyFont="1" applyFill="1" applyBorder="1" applyAlignment="1">
      <alignment horizontal="center" vertical="center"/>
    </xf>
    <xf numFmtId="0" fontId="6" fillId="0" borderId="0" xfId="0" applyFont="1" applyAlignment="1">
      <alignment horizontal="center" vertical="center" wrapText="1"/>
    </xf>
    <xf numFmtId="0" fontId="15" fillId="0" borderId="0" xfId="0" applyFont="1" applyAlignment="1">
      <alignment horizontal="center"/>
    </xf>
  </cellXfs>
  <cellStyles count="10">
    <cellStyle name="20% – Акцентування1" xfId="2" builtinId="30"/>
    <cellStyle name="20% – Акцентування2" xfId="3" builtinId="34"/>
    <cellStyle name="40% – Акцентування1" xfId="4" builtinId="31"/>
    <cellStyle name="40% – Акцентування1 2" xfId="5"/>
    <cellStyle name="40% – Акцентування2" xfId="6" builtinId="35"/>
    <cellStyle name="Акцентування1" xfId="7" builtinId="29"/>
    <cellStyle name="Акцентування2" xfId="8" builtinId="33"/>
    <cellStyle name="Відсотковий" xfId="9" builtinId="5"/>
    <cellStyle name="Звичайний" xfId="0" builtinId="0"/>
    <cellStyle name="РівеньРядків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5.xml"/><Relationship Id="rId21" Type="http://schemas.openxmlformats.org/officeDocument/2006/relationships/worksheet" Target="worksheets/sheet12.xml"/><Relationship Id="rId34" Type="http://schemas.openxmlformats.org/officeDocument/2006/relationships/chartsheet" Target="chartsheets/sheet14.xml"/><Relationship Id="rId42" Type="http://schemas.openxmlformats.org/officeDocument/2006/relationships/chartsheet" Target="chartsheets/sheet19.xml"/><Relationship Id="rId47" Type="http://schemas.openxmlformats.org/officeDocument/2006/relationships/worksheet" Target="worksheets/sheet26.xml"/><Relationship Id="rId50" Type="http://schemas.openxmlformats.org/officeDocument/2006/relationships/chartsheet" Target="chartsheets/sheet22.xml"/><Relationship Id="rId55" Type="http://schemas.openxmlformats.org/officeDocument/2006/relationships/chartsheet" Target="chartsheets/sheet25.xml"/><Relationship Id="rId63" Type="http://schemas.openxmlformats.org/officeDocument/2006/relationships/theme" Target="theme/theme1.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chartsheet" Target="chartsheets/sheet9.xml"/><Relationship Id="rId29" Type="http://schemas.openxmlformats.org/officeDocument/2006/relationships/worksheet" Target="worksheets/sheet18.xml"/><Relationship Id="rId11" Type="http://schemas.openxmlformats.org/officeDocument/2006/relationships/worksheet" Target="worksheets/sheet5.xml"/><Relationship Id="rId24" Type="http://schemas.openxmlformats.org/officeDocument/2006/relationships/worksheet" Target="worksheets/sheet13.xml"/><Relationship Id="rId32" Type="http://schemas.openxmlformats.org/officeDocument/2006/relationships/chartsheet" Target="chartsheets/sheet12.xml"/><Relationship Id="rId37" Type="http://schemas.openxmlformats.org/officeDocument/2006/relationships/chartsheet" Target="chartsheets/sheet15.xml"/><Relationship Id="rId40" Type="http://schemas.openxmlformats.org/officeDocument/2006/relationships/worksheet" Target="worksheets/sheet23.xml"/><Relationship Id="rId45" Type="http://schemas.openxmlformats.org/officeDocument/2006/relationships/chartsheet" Target="chartsheets/sheet21.xml"/><Relationship Id="rId53" Type="http://schemas.openxmlformats.org/officeDocument/2006/relationships/worksheet" Target="worksheets/sheet30.xml"/><Relationship Id="rId58" Type="http://schemas.openxmlformats.org/officeDocument/2006/relationships/worksheet" Target="worksheets/sheet33.xml"/><Relationship Id="rId66" Type="http://schemas.openxmlformats.org/officeDocument/2006/relationships/calcChain" Target="calcChain.xml"/><Relationship Id="rId5" Type="http://schemas.openxmlformats.org/officeDocument/2006/relationships/worksheet" Target="worksheets/sheet1.xml"/><Relationship Id="rId61" Type="http://schemas.openxmlformats.org/officeDocument/2006/relationships/worksheet" Target="worksheets/sheet36.xml"/><Relationship Id="rId19" Type="http://schemas.openxmlformats.org/officeDocument/2006/relationships/worksheet" Target="worksheets/sheet10.xml"/><Relationship Id="rId14" Type="http://schemas.openxmlformats.org/officeDocument/2006/relationships/chartsheet" Target="chartsheets/sheet7.xml"/><Relationship Id="rId22" Type="http://schemas.openxmlformats.org/officeDocument/2006/relationships/chartsheet" Target="chartsheets/sheet10.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worksheet" Target="worksheets/sheet21.xml"/><Relationship Id="rId43" Type="http://schemas.openxmlformats.org/officeDocument/2006/relationships/worksheet" Target="worksheets/sheet24.xml"/><Relationship Id="rId48" Type="http://schemas.openxmlformats.org/officeDocument/2006/relationships/worksheet" Target="worksheets/sheet27.xml"/><Relationship Id="rId56" Type="http://schemas.openxmlformats.org/officeDocument/2006/relationships/worksheet" Target="worksheets/sheet31.xml"/><Relationship Id="rId64" Type="http://schemas.openxmlformats.org/officeDocument/2006/relationships/styles" Target="styles.xml"/><Relationship Id="rId8" Type="http://schemas.openxmlformats.org/officeDocument/2006/relationships/worksheet" Target="worksheets/sheet4.xml"/><Relationship Id="rId51" Type="http://schemas.openxmlformats.org/officeDocument/2006/relationships/worksheet" Target="worksheets/sheet29.xml"/><Relationship Id="rId3" Type="http://schemas.openxmlformats.org/officeDocument/2006/relationships/chartsheet" Target="chartsheets/sheet3.xml"/><Relationship Id="rId12" Type="http://schemas.openxmlformats.org/officeDocument/2006/relationships/worksheet" Target="worksheets/sheet6.xml"/><Relationship Id="rId17" Type="http://schemas.openxmlformats.org/officeDocument/2006/relationships/worksheet" Target="worksheets/sheet8.xml"/><Relationship Id="rId25" Type="http://schemas.openxmlformats.org/officeDocument/2006/relationships/worksheet" Target="worksheets/sheet14.xml"/><Relationship Id="rId33" Type="http://schemas.openxmlformats.org/officeDocument/2006/relationships/chartsheet" Target="chartsheets/sheet13.xml"/><Relationship Id="rId38" Type="http://schemas.openxmlformats.org/officeDocument/2006/relationships/chartsheet" Target="chartsheets/sheet16.xml"/><Relationship Id="rId46" Type="http://schemas.openxmlformats.org/officeDocument/2006/relationships/worksheet" Target="worksheets/sheet25.xml"/><Relationship Id="rId59" Type="http://schemas.openxmlformats.org/officeDocument/2006/relationships/worksheet" Target="worksheets/sheet34.xml"/><Relationship Id="rId20" Type="http://schemas.openxmlformats.org/officeDocument/2006/relationships/worksheet" Target="worksheets/sheet11.xml"/><Relationship Id="rId41" Type="http://schemas.openxmlformats.org/officeDocument/2006/relationships/chartsheet" Target="chartsheets/sheet18.xml"/><Relationship Id="rId54" Type="http://schemas.openxmlformats.org/officeDocument/2006/relationships/chartsheet" Target="chartsheets/sheet24.xml"/><Relationship Id="rId62"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 Id="rId15" Type="http://schemas.openxmlformats.org/officeDocument/2006/relationships/chartsheet" Target="chartsheets/sheet8.xml"/><Relationship Id="rId23" Type="http://schemas.openxmlformats.org/officeDocument/2006/relationships/chartsheet" Target="chartsheets/sheet11.xml"/><Relationship Id="rId28" Type="http://schemas.openxmlformats.org/officeDocument/2006/relationships/worksheet" Target="worksheets/sheet17.xml"/><Relationship Id="rId36" Type="http://schemas.openxmlformats.org/officeDocument/2006/relationships/worksheet" Target="worksheets/sheet22.xml"/><Relationship Id="rId49" Type="http://schemas.openxmlformats.org/officeDocument/2006/relationships/worksheet" Target="worksheets/sheet28.xml"/><Relationship Id="rId57" Type="http://schemas.openxmlformats.org/officeDocument/2006/relationships/worksheet" Target="worksheets/sheet32.xml"/><Relationship Id="rId10" Type="http://schemas.openxmlformats.org/officeDocument/2006/relationships/chartsheet" Target="chartsheets/sheet6.xml"/><Relationship Id="rId31" Type="http://schemas.openxmlformats.org/officeDocument/2006/relationships/worksheet" Target="worksheets/sheet20.xml"/><Relationship Id="rId44" Type="http://schemas.openxmlformats.org/officeDocument/2006/relationships/chartsheet" Target="chartsheets/sheet20.xml"/><Relationship Id="rId52" Type="http://schemas.openxmlformats.org/officeDocument/2006/relationships/chartsheet" Target="chartsheets/sheet23.xml"/><Relationship Id="rId60" Type="http://schemas.openxmlformats.org/officeDocument/2006/relationships/worksheet" Target="worksheets/sheet35.xml"/><Relationship Id="rId65"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chartsheet" Target="chartsheets/sheet5.xml"/><Relationship Id="rId13" Type="http://schemas.openxmlformats.org/officeDocument/2006/relationships/worksheet" Target="worksheets/sheet7.xml"/><Relationship Id="rId18" Type="http://schemas.openxmlformats.org/officeDocument/2006/relationships/worksheet" Target="worksheets/sheet9.xml"/><Relationship Id="rId39" Type="http://schemas.openxmlformats.org/officeDocument/2006/relationships/chartsheet" Target="chartsheets/sheet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MK_ALL!$A$4</c:f>
          <c:strCache>
            <c:ptCount val="1"/>
            <c:pt idx="0">
              <c:v>Державний та гарантований державою борг України за поточний рік (млрд. грн)</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8"/>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3367174280879865"/>
          <c:w val="0.86157024793388426"/>
          <c:h val="0.80033840947546531"/>
        </c:manualLayout>
      </c:layout>
      <c:bar3DChart>
        <c:barDir val="col"/>
        <c:grouping val="stacked"/>
        <c:varyColors val="0"/>
        <c:ser>
          <c:idx val="1"/>
          <c:order val="0"/>
          <c:tx>
            <c:strRef>
              <c:f>MK_ALL!$A$7</c:f>
              <c:strCache>
                <c:ptCount val="1"/>
                <c:pt idx="0">
                  <c:v>Державний борг</c:v>
                </c:pt>
              </c:strCache>
            </c:strRef>
          </c:tx>
          <c:invertIfNegative val="0"/>
          <c:cat>
            <c:numRef>
              <c:f>MK_ALL!$B$5:$N$5</c:f>
              <c:numCache>
                <c:formatCode>dd\.mm\.yyyy;@</c:formatCode>
                <c:ptCount val="13"/>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numCache>
            </c:numRef>
          </c:cat>
          <c:val>
            <c:numRef>
              <c:f>MK_ALL!$B$7:$N$7</c:f>
              <c:numCache>
                <c:formatCode>#,##0.00</c:formatCode>
                <c:ptCount val="13"/>
                <c:pt idx="0">
                  <c:v>5188.0907415274296</c:v>
                </c:pt>
                <c:pt idx="1">
                  <c:v>5154.3421032807601</c:v>
                </c:pt>
                <c:pt idx="2">
                  <c:v>5167.2531379974098</c:v>
                </c:pt>
                <c:pt idx="3">
                  <c:v>5612.5548101356399</c:v>
                </c:pt>
                <c:pt idx="4">
                  <c:v>5699.54362534547</c:v>
                </c:pt>
                <c:pt idx="5">
                  <c:v>5797.7632925308599</c:v>
                </c:pt>
                <c:pt idx="6">
                  <c:v>5850.1502919194199</c:v>
                </c:pt>
                <c:pt idx="7">
                  <c:v>6050.05947242816</c:v>
                </c:pt>
                <c:pt idx="8">
                  <c:v>6079.8349600437896</c:v>
                </c:pt>
                <c:pt idx="9">
                  <c:v>6123.2216710161301</c:v>
                </c:pt>
                <c:pt idx="10">
                  <c:v>6135.5241460141197</c:v>
                </c:pt>
                <c:pt idx="11">
                  <c:v>6366.4363020214996</c:v>
                </c:pt>
                <c:pt idx="12">
                  <c:v>6692.4229054677799</c:v>
                </c:pt>
              </c:numCache>
            </c:numRef>
          </c:val>
          <c:extLst>
            <c:ext xmlns:c16="http://schemas.microsoft.com/office/drawing/2014/chart" uri="{C3380CC4-5D6E-409C-BE32-E72D297353CC}">
              <c16:uniqueId val="{00000000-5C88-4955-B0E0-109781C628E5}"/>
            </c:ext>
          </c:extLst>
        </c:ser>
        <c:ser>
          <c:idx val="2"/>
          <c:order val="1"/>
          <c:tx>
            <c:strRef>
              <c:f>MK_ALL!$A$8</c:f>
              <c:strCache>
                <c:ptCount val="1"/>
                <c:pt idx="0">
                  <c:v>Гарантований державою борг</c:v>
                </c:pt>
              </c:strCache>
            </c:strRef>
          </c:tx>
          <c:invertIfNegative val="0"/>
          <c:cat>
            <c:numRef>
              <c:f>MK_ALL!$B$5:$N$5</c:f>
              <c:numCache>
                <c:formatCode>dd\.mm\.yyyy;@</c:formatCode>
                <c:ptCount val="13"/>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numCache>
            </c:numRef>
          </c:cat>
          <c:val>
            <c:numRef>
              <c:f>MK_ALL!$B$8:$N$8</c:f>
              <c:numCache>
                <c:formatCode>#,##0.00</c:formatCode>
                <c:ptCount val="13"/>
                <c:pt idx="0">
                  <c:v>331.54471708272001</c:v>
                </c:pt>
                <c:pt idx="1">
                  <c:v>333.70168517576002</c:v>
                </c:pt>
                <c:pt idx="2">
                  <c:v>322.81898751006997</c:v>
                </c:pt>
                <c:pt idx="3">
                  <c:v>311.82922195107</c:v>
                </c:pt>
                <c:pt idx="4">
                  <c:v>311.17218007730003</c:v>
                </c:pt>
                <c:pt idx="5">
                  <c:v>317.63493516326002</c:v>
                </c:pt>
                <c:pt idx="6">
                  <c:v>317.90986908140002</c:v>
                </c:pt>
                <c:pt idx="7">
                  <c:v>323.92510968661998</c:v>
                </c:pt>
                <c:pt idx="8">
                  <c:v>292.95867382252999</c:v>
                </c:pt>
                <c:pt idx="9">
                  <c:v>287.12154112533</c:v>
                </c:pt>
                <c:pt idx="10">
                  <c:v>279.13074053897998</c:v>
                </c:pt>
                <c:pt idx="11">
                  <c:v>279.34799404196002</c:v>
                </c:pt>
                <c:pt idx="12">
                  <c:v>288.51110931761002</c:v>
                </c:pt>
              </c:numCache>
            </c:numRef>
          </c:val>
          <c:extLst>
            <c:ext xmlns:c16="http://schemas.microsoft.com/office/drawing/2014/chart" uri="{C3380CC4-5D6E-409C-BE32-E72D297353CC}">
              <c16:uniqueId val="{00000001-5C88-4955-B0E0-109781C628E5}"/>
            </c:ext>
          </c:extLst>
        </c:ser>
        <c:dLbls>
          <c:showLegendKey val="0"/>
          <c:showVal val="0"/>
          <c:showCatName val="0"/>
          <c:showSerName val="0"/>
          <c:showPercent val="0"/>
          <c:showBubbleSize val="0"/>
        </c:dLbls>
        <c:gapWidth val="150"/>
        <c:shape val="box"/>
        <c:axId val="151902047"/>
        <c:axId val="1"/>
        <c:axId val="0"/>
      </c:bar3DChart>
      <c:dateAx>
        <c:axId val="151902047"/>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51902047"/>
        <c:crosses val="autoZero"/>
        <c:crossBetween val="between"/>
      </c:valAx>
      <c:spPr>
        <a:noFill/>
        <a:ln w="25400">
          <a:noFill/>
        </a:ln>
      </c:spPr>
    </c:plotArea>
    <c:legend>
      <c:legendPos val="r"/>
      <c:layout>
        <c:manualLayout>
          <c:xMode val="edge"/>
          <c:yMode val="edge"/>
          <c:x val="0.9"/>
          <c:y val="0.59"/>
          <c:w val="0.1"/>
          <c:h val="0.1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CUR_M!$A$2</c:f>
          <c:strCache>
            <c:ptCount val="1"/>
            <c:pt idx="0">
              <c:v>Державний та гарантований державою борг України за станом на 31.12.2024</c:v>
            </c:pt>
          </c:strCache>
        </c:strRef>
      </c:tx>
      <c:layout>
        <c:manualLayout>
          <c:xMode val="edge"/>
          <c:yMode val="edge"/>
          <c:x val="0.18181889763779527"/>
          <c:y val="2.030393700787401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A9D-4F31-9607-535DAE41B901}"/>
              </c:ext>
            </c:extLst>
          </c:dPt>
          <c:dPt>
            <c:idx val="1"/>
            <c:bubble3D val="0"/>
            <c:extLst>
              <c:ext xmlns:c16="http://schemas.microsoft.com/office/drawing/2014/chart" uri="{C3380CC4-5D6E-409C-BE32-E72D297353CC}">
                <c16:uniqueId val="{00000001-EA9D-4F31-9607-535DAE41B901}"/>
              </c:ext>
            </c:extLst>
          </c:dPt>
          <c:dPt>
            <c:idx val="2"/>
            <c:bubble3D val="0"/>
            <c:extLst>
              <c:ext xmlns:c16="http://schemas.microsoft.com/office/drawing/2014/chart" uri="{C3380CC4-5D6E-409C-BE32-E72D297353CC}">
                <c16:uniqueId val="{00000002-EA9D-4F31-9607-535DAE41B901}"/>
              </c:ext>
            </c:extLst>
          </c:dPt>
          <c:dPt>
            <c:idx val="3"/>
            <c:bubble3D val="0"/>
            <c:extLst>
              <c:ext xmlns:c16="http://schemas.microsoft.com/office/drawing/2014/chart" uri="{C3380CC4-5D6E-409C-BE32-E72D297353CC}">
                <c16:uniqueId val="{00000003-EA9D-4F31-9607-535DAE41B901}"/>
              </c:ext>
            </c:extLst>
          </c:dPt>
          <c:dPt>
            <c:idx val="4"/>
            <c:bubble3D val="0"/>
            <c:extLst>
              <c:ext xmlns:c16="http://schemas.microsoft.com/office/drawing/2014/chart" uri="{C3380CC4-5D6E-409C-BE32-E72D297353CC}">
                <c16:uniqueId val="{00000004-EA9D-4F31-9607-535DAE41B901}"/>
              </c:ext>
            </c:extLst>
          </c:dPt>
          <c:dPt>
            <c:idx val="5"/>
            <c:bubble3D val="0"/>
            <c:extLst>
              <c:ext xmlns:c16="http://schemas.microsoft.com/office/drawing/2014/chart" uri="{C3380CC4-5D6E-409C-BE32-E72D297353CC}">
                <c16:uniqueId val="{00000005-EA9D-4F31-9607-535DAE41B901}"/>
              </c:ext>
            </c:extLst>
          </c:dPt>
          <c:dPt>
            <c:idx val="6"/>
            <c:bubble3D val="0"/>
            <c:extLst>
              <c:ext xmlns:c16="http://schemas.microsoft.com/office/drawing/2014/chart" uri="{C3380CC4-5D6E-409C-BE32-E72D297353CC}">
                <c16:uniqueId val="{00000006-EA9D-4F31-9607-535DAE41B901}"/>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CUR_M!$A$8:$A$14</c:f>
              <c:strCache>
                <c:ptCount val="7"/>
                <c:pt idx="0">
                  <c:v>Анг. фунт стерлінгів</c:v>
                </c:pt>
                <c:pt idx="1">
                  <c:v>Долар США</c:v>
                </c:pt>
                <c:pt idx="2">
                  <c:v>ЄВРО</c:v>
                </c:pt>
                <c:pt idx="3">
                  <c:v>Канадський долар</c:v>
                </c:pt>
                <c:pt idx="4">
                  <c:v>СПЗ</c:v>
                </c:pt>
                <c:pt idx="5">
                  <c:v>Українська гривня</c:v>
                </c:pt>
                <c:pt idx="6">
                  <c:v>Японська єна</c:v>
                </c:pt>
              </c:strCache>
            </c:strRef>
          </c:cat>
          <c:val>
            <c:numRef>
              <c:f>CUR_M!$B$8:$B$14</c:f>
              <c:numCache>
                <c:formatCode>#,##0.00</c:formatCode>
                <c:ptCount val="7"/>
                <c:pt idx="0">
                  <c:v>0.19013951203000001</c:v>
                </c:pt>
                <c:pt idx="1">
                  <c:v>44.523593051120002</c:v>
                </c:pt>
                <c:pt idx="2">
                  <c:v>54.822423933229999</c:v>
                </c:pt>
                <c:pt idx="3">
                  <c:v>4.6918914579299997</c:v>
                </c:pt>
                <c:pt idx="4">
                  <c:v>18.916013072719998</c:v>
                </c:pt>
                <c:pt idx="5">
                  <c:v>42.067872020700001</c:v>
                </c:pt>
                <c:pt idx="6">
                  <c:v>0.84658439538999997</c:v>
                </c:pt>
              </c:numCache>
            </c:numRef>
          </c:val>
          <c:extLst>
            <c:ext xmlns:c16="http://schemas.microsoft.com/office/drawing/2014/chart" uri="{C3380CC4-5D6E-409C-BE32-E72D297353CC}">
              <c16:uniqueId val="{00000007-EA9D-4F31-9607-535DAE41B901}"/>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31.12.2024</c:v>
            </c:pt>
          </c:strCache>
        </c:strRef>
      </c:tx>
      <c:layout>
        <c:manualLayout>
          <c:xMode val="edge"/>
          <c:yMode val="edge"/>
          <c:x val="0.29752062562145604"/>
          <c:y val="4.959322382352336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7B35-4804-835B-179F63EA71BF}"/>
              </c:ext>
            </c:extLst>
          </c:dPt>
          <c:dPt>
            <c:idx val="1"/>
            <c:bubble3D val="0"/>
            <c:extLst>
              <c:ext xmlns:c16="http://schemas.microsoft.com/office/drawing/2014/chart" uri="{C3380CC4-5D6E-409C-BE32-E72D297353CC}">
                <c16:uniqueId val="{00000001-7B35-4804-835B-179F63EA71BF}"/>
              </c:ext>
            </c:extLst>
          </c:dPt>
          <c:dPt>
            <c:idx val="2"/>
            <c:bubble3D val="0"/>
            <c:extLst>
              <c:ext xmlns:c16="http://schemas.microsoft.com/office/drawing/2014/chart" uri="{C3380CC4-5D6E-409C-BE32-E72D297353CC}">
                <c16:uniqueId val="{00000002-7B35-4804-835B-179F63EA71BF}"/>
              </c:ext>
            </c:extLst>
          </c:dPt>
          <c:dPt>
            <c:idx val="3"/>
            <c:bubble3D val="0"/>
            <c:extLst>
              <c:ext xmlns:c16="http://schemas.microsoft.com/office/drawing/2014/chart" uri="{C3380CC4-5D6E-409C-BE32-E72D297353CC}">
                <c16:uniqueId val="{00000003-7B35-4804-835B-179F63EA71BF}"/>
              </c:ext>
            </c:extLst>
          </c:dPt>
          <c:dPt>
            <c:idx val="4"/>
            <c:bubble3D val="0"/>
            <c:extLst>
              <c:ext xmlns:c16="http://schemas.microsoft.com/office/drawing/2014/chart" uri="{C3380CC4-5D6E-409C-BE32-E72D297353CC}">
                <c16:uniqueId val="{00000004-7B35-4804-835B-179F63EA71BF}"/>
              </c:ext>
            </c:extLst>
          </c:dPt>
          <c:dPt>
            <c:idx val="5"/>
            <c:bubble3D val="0"/>
            <c:extLst>
              <c:ext xmlns:c16="http://schemas.microsoft.com/office/drawing/2014/chart" uri="{C3380CC4-5D6E-409C-BE32-E72D297353CC}">
                <c16:uniqueId val="{00000005-7B35-4804-835B-179F63EA71BF}"/>
              </c:ext>
            </c:extLst>
          </c:dPt>
          <c:dPt>
            <c:idx val="6"/>
            <c:bubble3D val="0"/>
            <c:extLst>
              <c:ext xmlns:c16="http://schemas.microsoft.com/office/drawing/2014/chart" uri="{C3380CC4-5D6E-409C-BE32-E72D297353CC}">
                <c16:uniqueId val="{00000006-7B35-4804-835B-179F63EA71BF}"/>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CUR!$A$25:$A$31</c:f>
              <c:strCache>
                <c:ptCount val="7"/>
                <c:pt idx="0">
                  <c:v>Анг. фунт стерлінгів</c:v>
                </c:pt>
                <c:pt idx="1">
                  <c:v>Долар США</c:v>
                </c:pt>
                <c:pt idx="2">
                  <c:v>ЄВРО</c:v>
                </c:pt>
                <c:pt idx="3">
                  <c:v>Канадський долар</c:v>
                </c:pt>
                <c:pt idx="4">
                  <c:v>СПЗ</c:v>
                </c:pt>
                <c:pt idx="5">
                  <c:v>Українська гривня</c:v>
                </c:pt>
                <c:pt idx="6">
                  <c:v>Японська єна</c:v>
                </c:pt>
              </c:strCache>
            </c:strRef>
          </c:cat>
          <c:val>
            <c:numRef>
              <c:f>CUR!$B$25:$B$31</c:f>
              <c:numCache>
                <c:formatCode>#,##0.00</c:formatCode>
                <c:ptCount val="7"/>
                <c:pt idx="0">
                  <c:v>0.19013951203000001</c:v>
                </c:pt>
                <c:pt idx="1">
                  <c:v>41.946064231139999</c:v>
                </c:pt>
                <c:pt idx="2">
                  <c:v>53.205683323819997</c:v>
                </c:pt>
                <c:pt idx="3">
                  <c:v>4.6918914579299997</c:v>
                </c:pt>
                <c:pt idx="4">
                  <c:v>17.665421749109999</c:v>
                </c:pt>
                <c:pt idx="5">
                  <c:v>40.649793376570003</c:v>
                </c:pt>
                <c:pt idx="6">
                  <c:v>0.84658439538999997</c:v>
                </c:pt>
              </c:numCache>
            </c:numRef>
          </c:val>
          <c:extLst>
            <c:ext xmlns:c16="http://schemas.microsoft.com/office/drawing/2014/chart" uri="{C3380CC4-5D6E-409C-BE32-E72D297353CC}">
              <c16:uniqueId val="{00000007-7B35-4804-835B-179F63EA71B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DKR!$A$2</c:f>
          <c:strCache>
            <c:ptCount val="1"/>
            <c:pt idx="0">
              <c:v>Державний та гарантований державою борг України
станом на 31.12.2024</c:v>
            </c:pt>
          </c:strCache>
        </c:strRef>
      </c:tx>
      <c:layout>
        <c:manualLayout>
          <c:xMode val="edge"/>
          <c:yMode val="edge"/>
          <c:x val="0.29383998106794029"/>
          <c:y val="8.306608901920732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8B45-4AEB-83E5-DA2D82625197}"/>
              </c:ext>
            </c:extLst>
          </c:dPt>
          <c:dPt>
            <c:idx val="1"/>
            <c:bubble3D val="0"/>
            <c:extLst>
              <c:ext xmlns:c16="http://schemas.microsoft.com/office/drawing/2014/chart" uri="{C3380CC4-5D6E-409C-BE32-E72D297353CC}">
                <c16:uniqueId val="{00000001-8B45-4AEB-83E5-DA2D82625197}"/>
              </c:ext>
            </c:extLst>
          </c:dPt>
          <c:dPt>
            <c:idx val="2"/>
            <c:bubble3D val="0"/>
            <c:extLst>
              <c:ext xmlns:c16="http://schemas.microsoft.com/office/drawing/2014/chart" uri="{C3380CC4-5D6E-409C-BE32-E72D297353CC}">
                <c16:uniqueId val="{00000002-8B45-4AEB-83E5-DA2D82625197}"/>
              </c:ext>
            </c:extLst>
          </c:dPt>
          <c:dPt>
            <c:idx val="3"/>
            <c:bubble3D val="0"/>
            <c:extLst>
              <c:ext xmlns:c16="http://schemas.microsoft.com/office/drawing/2014/chart" uri="{C3380CC4-5D6E-409C-BE32-E72D297353CC}">
                <c16:uniqueId val="{00000003-8B45-4AEB-83E5-DA2D82625197}"/>
              </c:ext>
            </c:extLst>
          </c:dPt>
          <c:dPt>
            <c:idx val="4"/>
            <c:bubble3D val="0"/>
            <c:extLst>
              <c:ext xmlns:c16="http://schemas.microsoft.com/office/drawing/2014/chart" uri="{C3380CC4-5D6E-409C-BE32-E72D297353CC}">
                <c16:uniqueId val="{00000004-8B45-4AEB-83E5-DA2D82625197}"/>
              </c:ext>
            </c:extLst>
          </c:dPt>
          <c:dPt>
            <c:idx val="5"/>
            <c:bubble3D val="0"/>
            <c:extLst>
              <c:ext xmlns:c16="http://schemas.microsoft.com/office/drawing/2014/chart" uri="{C3380CC4-5D6E-409C-BE32-E72D297353CC}">
                <c16:uniqueId val="{00000005-8B45-4AEB-83E5-DA2D82625197}"/>
              </c:ext>
            </c:extLst>
          </c:dPt>
          <c:dPt>
            <c:idx val="6"/>
            <c:bubble3D val="0"/>
            <c:extLst>
              <c:ext xmlns:c16="http://schemas.microsoft.com/office/drawing/2014/chart" uri="{C3380CC4-5D6E-409C-BE32-E72D297353CC}">
                <c16:uniqueId val="{00000006-8B45-4AEB-83E5-DA2D82625197}"/>
              </c:ext>
            </c:extLst>
          </c:dPt>
          <c:dPt>
            <c:idx val="7"/>
            <c:bubble3D val="0"/>
            <c:extLst>
              <c:ext xmlns:c16="http://schemas.microsoft.com/office/drawing/2014/chart" uri="{C3380CC4-5D6E-409C-BE32-E72D297353CC}">
                <c16:uniqueId val="{00000007-8B45-4AEB-83E5-DA2D82625197}"/>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45-4AEB-83E5-DA2D82625197}"/>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45-4AEB-83E5-DA2D82625197}"/>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45-4AEB-83E5-DA2D82625197}"/>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45-4AEB-83E5-DA2D82625197}"/>
                </c:ext>
              </c:extLst>
            </c:dLbl>
            <c:dLbl>
              <c:idx val="5"/>
              <c:layout>
                <c:manualLayout>
                  <c:x val="1.0247919660360955E-3"/>
                  <c:y val="-0.55767968812321889"/>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45-4AEB-83E5-DA2D82625197}"/>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45-4AEB-83E5-DA2D82625197}"/>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DKR!$A$8:$A$15</c:f>
              <c:strCache>
                <c:ptCount val="8"/>
                <c:pt idx="0">
                  <c:v>Внутрішній борг за випущеними цінними паперами</c:v>
                </c:pt>
                <c:pt idx="1">
                  <c:v>Внутрішній борг перед банківськими та іншими фінансовими установами</c:v>
                </c:pt>
                <c:pt idx="2">
                  <c:v>Внутрішня заборгованість, не віднесена до інших категорій</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DKR!$B$8:$B$15</c:f>
              <c:numCache>
                <c:formatCode>#,##0.00</c:formatCode>
                <c:ptCount val="8"/>
                <c:pt idx="0">
                  <c:v>44.390978646409998</c:v>
                </c:pt>
                <c:pt idx="1">
                  <c:v>1.5779698709900001</c:v>
                </c:pt>
                <c:pt idx="2">
                  <c:v>2.270868E-5</c:v>
                </c:pt>
                <c:pt idx="3">
                  <c:v>19.044165083999999</c:v>
                </c:pt>
                <c:pt idx="4">
                  <c:v>1.6608317824700001</c:v>
                </c:pt>
                <c:pt idx="5">
                  <c:v>86.069376649920002</c:v>
                </c:pt>
                <c:pt idx="6">
                  <c:v>9.0928239437599991</c:v>
                </c:pt>
                <c:pt idx="7">
                  <c:v>4.2223487568899998</c:v>
                </c:pt>
              </c:numCache>
            </c:numRef>
          </c:val>
          <c:extLst>
            <c:ext xmlns:c16="http://schemas.microsoft.com/office/drawing/2014/chart" uri="{C3380CC4-5D6E-409C-BE32-E72D297353CC}">
              <c16:uniqueId val="{00000008-8B45-4AEB-83E5-DA2D8262519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31.12.2024</c:v>
            </c:pt>
          </c:strCache>
        </c:strRef>
      </c:tx>
      <c:layout>
        <c:manualLayout>
          <c:xMode val="edge"/>
          <c:yMode val="edge"/>
          <c:x val="0.29752065315606041"/>
          <c:y val="2.030458274305669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3F46-426F-8CB8-EF20DBD924CA}"/>
              </c:ext>
            </c:extLst>
          </c:dPt>
          <c:dPt>
            <c:idx val="1"/>
            <c:bubble3D val="0"/>
            <c:extLst>
              <c:ext xmlns:c16="http://schemas.microsoft.com/office/drawing/2014/chart" uri="{C3380CC4-5D6E-409C-BE32-E72D297353CC}">
                <c16:uniqueId val="{00000001-3F46-426F-8CB8-EF20DBD924CA}"/>
              </c:ext>
            </c:extLst>
          </c:dPt>
          <c:dPt>
            <c:idx val="2"/>
            <c:bubble3D val="0"/>
            <c:extLst>
              <c:ext xmlns:c16="http://schemas.microsoft.com/office/drawing/2014/chart" uri="{C3380CC4-5D6E-409C-BE32-E72D297353CC}">
                <c16:uniqueId val="{00000002-3F46-426F-8CB8-EF20DBD924CA}"/>
              </c:ext>
            </c:extLst>
          </c:dPt>
          <c:dPt>
            <c:idx val="3"/>
            <c:bubble3D val="0"/>
            <c:extLst>
              <c:ext xmlns:c16="http://schemas.microsoft.com/office/drawing/2014/chart" uri="{C3380CC4-5D6E-409C-BE32-E72D297353CC}">
                <c16:uniqueId val="{00000003-3F46-426F-8CB8-EF20DBD924CA}"/>
              </c:ext>
            </c:extLst>
          </c:dPt>
          <c:dPt>
            <c:idx val="4"/>
            <c:bubble3D val="0"/>
            <c:extLst>
              <c:ext xmlns:c16="http://schemas.microsoft.com/office/drawing/2014/chart" uri="{C3380CC4-5D6E-409C-BE32-E72D297353CC}">
                <c16:uniqueId val="{00000004-3F46-426F-8CB8-EF20DBD924CA}"/>
              </c:ext>
            </c:extLst>
          </c:dPt>
          <c:dPt>
            <c:idx val="5"/>
            <c:bubble3D val="0"/>
            <c:extLst>
              <c:ext xmlns:c16="http://schemas.microsoft.com/office/drawing/2014/chart" uri="{C3380CC4-5D6E-409C-BE32-E72D297353CC}">
                <c16:uniqueId val="{00000005-3F46-426F-8CB8-EF20DBD924CA}"/>
              </c:ext>
            </c:extLst>
          </c:dPt>
          <c:dPt>
            <c:idx val="6"/>
            <c:bubble3D val="0"/>
            <c:extLst>
              <c:ext xmlns:c16="http://schemas.microsoft.com/office/drawing/2014/chart" uri="{C3380CC4-5D6E-409C-BE32-E72D297353CC}">
                <c16:uniqueId val="{00000006-3F46-426F-8CB8-EF20DBD924CA}"/>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F46-426F-8CB8-EF20DBD924CA}"/>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F46-426F-8CB8-EF20DBD924CA}"/>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F46-426F-8CB8-EF20DBD924CA}"/>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F46-426F-8CB8-EF20DBD924CA}"/>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F46-426F-8CB8-EF20DBD924CA}"/>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F46-426F-8CB8-EF20DBD924CA}"/>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'DKR2'!$A$10:$A$16</c:f>
              <c:strCache>
                <c:ptCount val="7"/>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strCache>
            </c:strRef>
          </c:cat>
          <c:val>
            <c:numRef>
              <c:f>'DKR2'!$B$10:$B$16</c:f>
              <c:numCache>
                <c:formatCode>#,##0.00</c:formatCode>
                <c:ptCount val="7"/>
                <c:pt idx="0">
                  <c:v>44.284529596719999</c:v>
                </c:pt>
                <c:pt idx="1">
                  <c:v>3.4605431809999997E-2</c:v>
                </c:pt>
                <c:pt idx="2">
                  <c:v>18.219165084</c:v>
                </c:pt>
                <c:pt idx="3">
                  <c:v>1.4786194744200001</c:v>
                </c:pt>
                <c:pt idx="4">
                  <c:v>82.827489272820003</c:v>
                </c:pt>
                <c:pt idx="5">
                  <c:v>8.2350335973399993</c:v>
                </c:pt>
                <c:pt idx="6">
                  <c:v>4.1161355888799998</c:v>
                </c:pt>
              </c:numCache>
            </c:numRef>
          </c:val>
          <c:extLst>
            <c:ext xmlns:c16="http://schemas.microsoft.com/office/drawing/2014/chart" uri="{C3380CC4-5D6E-409C-BE32-E72D297353CC}">
              <c16:uniqueId val="{00000007-3F46-426F-8CB8-EF20DBD924CA}"/>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31.12.2024</c:v>
            </c:pt>
          </c:strCache>
        </c:strRef>
      </c:tx>
      <c:layout>
        <c:manualLayout>
          <c:xMode val="edge"/>
          <c:yMode val="edge"/>
          <c:x val="0.27758766834473558"/>
          <c:y val="7.469788818238724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0B38-4DF3-A903-E572C112AEAD}"/>
              </c:ext>
            </c:extLst>
          </c:dPt>
          <c:dPt>
            <c:idx val="1"/>
            <c:bubble3D val="0"/>
            <c:extLst>
              <c:ext xmlns:c16="http://schemas.microsoft.com/office/drawing/2014/chart" uri="{C3380CC4-5D6E-409C-BE32-E72D297353CC}">
                <c16:uniqueId val="{00000001-0B38-4DF3-A903-E572C112AEAD}"/>
              </c:ext>
            </c:extLst>
          </c:dPt>
          <c:dPt>
            <c:idx val="2"/>
            <c:bubble3D val="0"/>
            <c:extLst>
              <c:ext xmlns:c16="http://schemas.microsoft.com/office/drawing/2014/chart" uri="{C3380CC4-5D6E-409C-BE32-E72D297353CC}">
                <c16:uniqueId val="{00000002-0B38-4DF3-A903-E572C112AEAD}"/>
              </c:ext>
            </c:extLst>
          </c:dPt>
          <c:dPt>
            <c:idx val="3"/>
            <c:bubble3D val="0"/>
            <c:extLst>
              <c:ext xmlns:c16="http://schemas.microsoft.com/office/drawing/2014/chart" uri="{C3380CC4-5D6E-409C-BE32-E72D297353CC}">
                <c16:uniqueId val="{00000003-0B38-4DF3-A903-E572C112AEAD}"/>
              </c:ext>
            </c:extLst>
          </c:dPt>
          <c:dPt>
            <c:idx val="4"/>
            <c:bubble3D val="0"/>
            <c:extLst>
              <c:ext xmlns:c16="http://schemas.microsoft.com/office/drawing/2014/chart" uri="{C3380CC4-5D6E-409C-BE32-E72D297353CC}">
                <c16:uniqueId val="{00000004-0B38-4DF3-A903-E572C112AEAD}"/>
              </c:ext>
            </c:extLst>
          </c:dPt>
          <c:dPt>
            <c:idx val="5"/>
            <c:bubble3D val="0"/>
            <c:extLst>
              <c:ext xmlns:c16="http://schemas.microsoft.com/office/drawing/2014/chart" uri="{C3380CC4-5D6E-409C-BE32-E72D297353CC}">
                <c16:uniqueId val="{00000005-0B38-4DF3-A903-E572C112AEAD}"/>
              </c:ext>
            </c:extLst>
          </c:dPt>
          <c:dPt>
            <c:idx val="6"/>
            <c:bubble3D val="0"/>
            <c:extLst>
              <c:ext xmlns:c16="http://schemas.microsoft.com/office/drawing/2014/chart" uri="{C3380CC4-5D6E-409C-BE32-E72D297353CC}">
                <c16:uniqueId val="{00000006-0B38-4DF3-A903-E572C112AEAD}"/>
              </c:ext>
            </c:extLst>
          </c:dPt>
          <c:dPt>
            <c:idx val="7"/>
            <c:bubble3D val="0"/>
            <c:extLst>
              <c:ext xmlns:c16="http://schemas.microsoft.com/office/drawing/2014/chart" uri="{C3380CC4-5D6E-409C-BE32-E72D297353CC}">
                <c16:uniqueId val="{00000007-0B38-4DF3-A903-E572C112AEAD}"/>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B38-4DF3-A903-E572C112AEAD}"/>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B38-4DF3-A903-E572C112AEAD}"/>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B38-4DF3-A903-E572C112AEAD}"/>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B38-4DF3-A903-E572C112AEAD}"/>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B38-4DF3-A903-E572C112AEAD}"/>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B38-4DF3-A903-E572C112AEA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'DKR2'!$A$18:$A$25</c:f>
              <c:strCache>
                <c:ptCount val="8"/>
                <c:pt idx="0">
                  <c:v>Внутрішній борг за випущеними цінними паперами</c:v>
                </c:pt>
                <c:pt idx="1">
                  <c:v>Внутрішній борг перед банківськими та іншими фінансовими установами</c:v>
                </c:pt>
                <c:pt idx="2">
                  <c:v>Внутрішня заборгованість, не віднесена до інших категорій</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'DKR2'!$B$18:$B$25</c:f>
              <c:numCache>
                <c:formatCode>#,##0.00</c:formatCode>
                <c:ptCount val="8"/>
                <c:pt idx="0">
                  <c:v>0.10644904969000001</c:v>
                </c:pt>
                <c:pt idx="1">
                  <c:v>1.5433644391800001</c:v>
                </c:pt>
                <c:pt idx="2">
                  <c:v>2.270868E-5</c:v>
                </c:pt>
                <c:pt idx="3">
                  <c:v>0.82499999999999996</c:v>
                </c:pt>
                <c:pt idx="4">
                  <c:v>0.18221230804999999</c:v>
                </c:pt>
                <c:pt idx="5">
                  <c:v>3.2418873770999999</c:v>
                </c:pt>
                <c:pt idx="6">
                  <c:v>0.85779034641999996</c:v>
                </c:pt>
                <c:pt idx="7">
                  <c:v>0.10621316801</c:v>
                </c:pt>
              </c:numCache>
            </c:numRef>
          </c:val>
          <c:extLst>
            <c:ext xmlns:c16="http://schemas.microsoft.com/office/drawing/2014/chart" uri="{C3380CC4-5D6E-409C-BE32-E72D297353CC}">
              <c16:uniqueId val="{00000008-0B38-4DF3-A903-E572C112AEAD}"/>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YT_ALL!$A$10</c:f>
          <c:strCache>
            <c:ptCount val="1"/>
            <c:pt idx="0">
              <c:v>Державний та гарантований державою борг України за останні 5 років (млрд. дол. США)</c:v>
            </c:pt>
          </c:strCache>
        </c:strRef>
      </c:tx>
      <c:layout>
        <c:manualLayout>
          <c:xMode val="edge"/>
          <c:yMode val="edge"/>
          <c:x val="0.13421840712533883"/>
          <c:y val="3.07483609527888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8.6776859504132234E-2"/>
          <c:y val="0.10490693739424704"/>
          <c:w val="0.77685950413223137"/>
          <c:h val="0.82741116751269039"/>
        </c:manualLayout>
      </c:layout>
      <c:bar3DChart>
        <c:barDir val="col"/>
        <c:grouping val="stacked"/>
        <c:varyColors val="0"/>
        <c:ser>
          <c:idx val="0"/>
          <c:order val="0"/>
          <c:tx>
            <c:strRef>
              <c:f>YT_ALL!$A$13</c:f>
              <c:strCache>
                <c:ptCount val="1"/>
                <c:pt idx="0">
                  <c:v>Внутрішній борг</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43830</c:v>
                </c:pt>
                <c:pt idx="1">
                  <c:v>44196</c:v>
                </c:pt>
                <c:pt idx="2">
                  <c:v>44561</c:v>
                </c:pt>
                <c:pt idx="3">
                  <c:v>44926</c:v>
                </c:pt>
                <c:pt idx="4">
                  <c:v>45291</c:v>
                </c:pt>
                <c:pt idx="5">
                  <c:v>45657</c:v>
                </c:pt>
              </c:numCache>
            </c:numRef>
          </c:cat>
          <c:val>
            <c:numRef>
              <c:f>YT_ALL!$B$13:$G$13</c:f>
              <c:numCache>
                <c:formatCode>#,##0.00</c:formatCode>
                <c:ptCount val="6"/>
                <c:pt idx="0">
                  <c:v>35.415048400320003</c:v>
                </c:pt>
                <c:pt idx="1">
                  <c:v>36.532691438050001</c:v>
                </c:pt>
                <c:pt idx="2">
                  <c:v>40.750410997160003</c:v>
                </c:pt>
                <c:pt idx="3">
                  <c:v>39.976596962419997</c:v>
                </c:pt>
                <c:pt idx="4">
                  <c:v>43.612207332799997</c:v>
                </c:pt>
                <c:pt idx="5">
                  <c:v>45.968971226080001</c:v>
                </c:pt>
              </c:numCache>
            </c:numRef>
          </c:val>
          <c:extLst>
            <c:ext xmlns:c16="http://schemas.microsoft.com/office/drawing/2014/chart" uri="{C3380CC4-5D6E-409C-BE32-E72D297353CC}">
              <c16:uniqueId val="{00000000-E882-4C88-B380-E858384C8BAF}"/>
            </c:ext>
          </c:extLst>
        </c:ser>
        <c:ser>
          <c:idx val="1"/>
          <c:order val="1"/>
          <c:tx>
            <c:strRef>
              <c:f>YT_ALL!$A$14</c:f>
              <c:strCache>
                <c:ptCount val="1"/>
                <c:pt idx="0">
                  <c:v>Зовнішній борг</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43830</c:v>
                </c:pt>
                <c:pt idx="1">
                  <c:v>44196</c:v>
                </c:pt>
                <c:pt idx="2">
                  <c:v>44561</c:v>
                </c:pt>
                <c:pt idx="3">
                  <c:v>44926</c:v>
                </c:pt>
                <c:pt idx="4">
                  <c:v>45291</c:v>
                </c:pt>
                <c:pt idx="5">
                  <c:v>45657</c:v>
                </c:pt>
              </c:numCache>
            </c:numRef>
          </c:cat>
          <c:val>
            <c:numRef>
              <c:f>YT_ALL!$B$14:$G$14</c:f>
              <c:numCache>
                <c:formatCode>#,##0.00</c:formatCode>
                <c:ptCount val="6"/>
                <c:pt idx="0">
                  <c:v>48.950358459539999</c:v>
                </c:pt>
                <c:pt idx="1">
                  <c:v>53.720812597209999</c:v>
                </c:pt>
                <c:pt idx="2">
                  <c:v>57.205466601799998</c:v>
                </c:pt>
                <c:pt idx="3">
                  <c:v>71.473331067700002</c:v>
                </c:pt>
                <c:pt idx="4">
                  <c:v>101.70866387616</c:v>
                </c:pt>
                <c:pt idx="5">
                  <c:v>120.08954621704</c:v>
                </c:pt>
              </c:numCache>
            </c:numRef>
          </c:val>
          <c:extLst>
            <c:ext xmlns:c16="http://schemas.microsoft.com/office/drawing/2014/chart" uri="{C3380CC4-5D6E-409C-BE32-E72D297353CC}">
              <c16:uniqueId val="{00000001-E882-4C88-B380-E858384C8BAF}"/>
            </c:ext>
          </c:extLst>
        </c:ser>
        <c:dLbls>
          <c:showLegendKey val="0"/>
          <c:showVal val="0"/>
          <c:showCatName val="0"/>
          <c:showSerName val="0"/>
          <c:showPercent val="0"/>
          <c:showBubbleSize val="0"/>
        </c:dLbls>
        <c:gapWidth val="150"/>
        <c:shape val="box"/>
        <c:axId val="152997967"/>
        <c:axId val="1"/>
        <c:axId val="0"/>
      </c:bar3DChart>
      <c:dateAx>
        <c:axId val="15299796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52997967"/>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YT_ALL!$A$4</c:f>
          <c:strCache>
            <c:ptCount val="1"/>
            <c:pt idx="0">
              <c:v>Державний та гарантований державою борг України за останні 5 років (млрд. грн)</c:v>
            </c:pt>
          </c:strCache>
        </c:strRef>
      </c:tx>
      <c:layout>
        <c:manualLayout>
          <c:xMode val="edge"/>
          <c:yMode val="edge"/>
          <c:x val="0.13993309237984597"/>
          <c:y val="2.239333838500312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9.4008264462809923E-2"/>
          <c:y val="0.10490693739424704"/>
          <c:w val="0.76962809917355368"/>
          <c:h val="0.82741116751269039"/>
        </c:manualLayout>
      </c:layout>
      <c:bar3DChart>
        <c:barDir val="col"/>
        <c:grouping val="stacked"/>
        <c:varyColors val="0"/>
        <c:ser>
          <c:idx val="0"/>
          <c:order val="0"/>
          <c:tx>
            <c:strRef>
              <c:f>YT_ALL!$A$7</c:f>
              <c:strCache>
                <c:ptCount val="1"/>
                <c:pt idx="0">
                  <c:v>Внутрішній борг</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43830</c:v>
                </c:pt>
                <c:pt idx="1">
                  <c:v>44196</c:v>
                </c:pt>
                <c:pt idx="2">
                  <c:v>44561</c:v>
                </c:pt>
                <c:pt idx="3">
                  <c:v>44926</c:v>
                </c:pt>
                <c:pt idx="4">
                  <c:v>45291</c:v>
                </c:pt>
                <c:pt idx="5">
                  <c:v>45657</c:v>
                </c:pt>
              </c:numCache>
            </c:numRef>
          </c:cat>
          <c:val>
            <c:numRef>
              <c:f>YT_ALL!$B$7:$G$7</c:f>
              <c:numCache>
                <c:formatCode>#,##0.00</c:formatCode>
                <c:ptCount val="6"/>
                <c:pt idx="0">
                  <c:v>838.84791942062998</c:v>
                </c:pt>
                <c:pt idx="1">
                  <c:v>1032.9472373433</c:v>
                </c:pt>
                <c:pt idx="2">
                  <c:v>1111.59786125906</c:v>
                </c:pt>
                <c:pt idx="3">
                  <c:v>1461.888183668</c:v>
                </c:pt>
                <c:pt idx="4">
                  <c:v>1656.49630379928</c:v>
                </c:pt>
                <c:pt idx="5">
                  <c:v>1932.48958136344</c:v>
                </c:pt>
              </c:numCache>
            </c:numRef>
          </c:val>
          <c:extLst>
            <c:ext xmlns:c16="http://schemas.microsoft.com/office/drawing/2014/chart" uri="{C3380CC4-5D6E-409C-BE32-E72D297353CC}">
              <c16:uniqueId val="{00000000-C241-4146-9D16-65FCD70024D0}"/>
            </c:ext>
          </c:extLst>
        </c:ser>
        <c:ser>
          <c:idx val="1"/>
          <c:order val="1"/>
          <c:tx>
            <c:strRef>
              <c:f>YT_ALL!$A$8</c:f>
              <c:strCache>
                <c:ptCount val="1"/>
                <c:pt idx="0">
                  <c:v>Зовнішній борг</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43830</c:v>
                </c:pt>
                <c:pt idx="1">
                  <c:v>44196</c:v>
                </c:pt>
                <c:pt idx="2">
                  <c:v>44561</c:v>
                </c:pt>
                <c:pt idx="3">
                  <c:v>44926</c:v>
                </c:pt>
                <c:pt idx="4">
                  <c:v>45291</c:v>
                </c:pt>
                <c:pt idx="5">
                  <c:v>45657</c:v>
                </c:pt>
              </c:numCache>
            </c:numRef>
          </c:cat>
          <c:val>
            <c:numRef>
              <c:f>YT_ALL!$B$8:$G$8</c:f>
              <c:numCache>
                <c:formatCode>#,##0.00</c:formatCode>
                <c:ptCount val="6"/>
                <c:pt idx="0">
                  <c:v>1159.4479805441299</c:v>
                </c:pt>
                <c:pt idx="1">
                  <c:v>1518.9344878609099</c:v>
                </c:pt>
                <c:pt idx="2">
                  <c:v>1560.4621590567101</c:v>
                </c:pt>
                <c:pt idx="3">
                  <c:v>2613.6796544812701</c:v>
                </c:pt>
                <c:pt idx="4">
                  <c:v>3863.13915481087</c:v>
                </c:pt>
                <c:pt idx="5">
                  <c:v>5048.4444334219497</c:v>
                </c:pt>
              </c:numCache>
            </c:numRef>
          </c:val>
          <c:extLst>
            <c:ext xmlns:c16="http://schemas.microsoft.com/office/drawing/2014/chart" uri="{C3380CC4-5D6E-409C-BE32-E72D297353CC}">
              <c16:uniqueId val="{00000001-C241-4146-9D16-65FCD70024D0}"/>
            </c:ext>
          </c:extLst>
        </c:ser>
        <c:dLbls>
          <c:showLegendKey val="0"/>
          <c:showVal val="0"/>
          <c:showCatName val="0"/>
          <c:showSerName val="0"/>
          <c:showPercent val="0"/>
          <c:showBubbleSize val="0"/>
        </c:dLbls>
        <c:gapWidth val="150"/>
        <c:shape val="box"/>
        <c:axId val="153000047"/>
        <c:axId val="1"/>
        <c:axId val="0"/>
      </c:bar3DChart>
      <c:dateAx>
        <c:axId val="15300004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53000047"/>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[0]!DEBT_LAST_5_YEARS_PERCENT</c:f>
          <c:strCache>
            <c:ptCount val="1"/>
            <c:pt idx="0">
              <c:v>Динаміка державного боргу за останні 5 років
(відсоткова структура)</c:v>
            </c:pt>
          </c:strCache>
        </c:strRef>
      </c:tx>
      <c:layout>
        <c:manualLayout>
          <c:xMode val="edge"/>
          <c:yMode val="edge"/>
          <c:x val="0.30785131879006927"/>
          <c:y val="2.0304582743056698E-2"/>
        </c:manualLayout>
      </c:layout>
      <c:overlay val="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7.3347107438016534E-2"/>
          <c:y val="0.10490693739424704"/>
          <c:w val="0.79028925619834711"/>
          <c:h val="0.82741116751269039"/>
        </c:manualLayout>
      </c:layout>
      <c:bar3DChart>
        <c:barDir val="col"/>
        <c:grouping val="stacked"/>
        <c:varyColors val="0"/>
        <c:ser>
          <c:idx val="0"/>
          <c:order val="0"/>
          <c:tx>
            <c:strRef>
              <c:f>YT_ALL!$A$19</c:f>
              <c:strCache>
                <c:ptCount val="1"/>
                <c:pt idx="0">
                  <c:v>Внутрішній борг</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43830</c:v>
                </c:pt>
                <c:pt idx="1">
                  <c:v>44196</c:v>
                </c:pt>
                <c:pt idx="2">
                  <c:v>44561</c:v>
                </c:pt>
                <c:pt idx="3">
                  <c:v>44926</c:v>
                </c:pt>
                <c:pt idx="4">
                  <c:v>45291</c:v>
                </c:pt>
                <c:pt idx="5">
                  <c:v>45657</c:v>
                </c:pt>
              </c:numCache>
            </c:numRef>
          </c:cat>
          <c:val>
            <c:numRef>
              <c:f>YT_ALL!$B$19:$G$19</c:f>
              <c:numCache>
                <c:formatCode>0.00%</c:formatCode>
                <c:ptCount val="6"/>
                <c:pt idx="0">
                  <c:v>0.41978199999999999</c:v>
                </c:pt>
                <c:pt idx="1">
                  <c:v>0.404779</c:v>
                </c:pt>
                <c:pt idx="2">
                  <c:v>0.41600799999999999</c:v>
                </c:pt>
                <c:pt idx="3">
                  <c:v>0.35869600000000001</c:v>
                </c:pt>
                <c:pt idx="4">
                  <c:v>0.30010999999999999</c:v>
                </c:pt>
                <c:pt idx="5">
                  <c:v>0.27682400000000001</c:v>
                </c:pt>
              </c:numCache>
            </c:numRef>
          </c:val>
          <c:extLst>
            <c:ext xmlns:c16="http://schemas.microsoft.com/office/drawing/2014/chart" uri="{C3380CC4-5D6E-409C-BE32-E72D297353CC}">
              <c16:uniqueId val="{00000000-A715-432F-9394-9FEC6C041CA9}"/>
            </c:ext>
          </c:extLst>
        </c:ser>
        <c:ser>
          <c:idx val="1"/>
          <c:order val="1"/>
          <c:tx>
            <c:strRef>
              <c:f>YT_ALL!$A$20</c:f>
              <c:strCache>
                <c:ptCount val="1"/>
                <c:pt idx="0">
                  <c:v>Зовнішній борг</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43830</c:v>
                </c:pt>
                <c:pt idx="1">
                  <c:v>44196</c:v>
                </c:pt>
                <c:pt idx="2">
                  <c:v>44561</c:v>
                </c:pt>
                <c:pt idx="3">
                  <c:v>44926</c:v>
                </c:pt>
                <c:pt idx="4">
                  <c:v>45291</c:v>
                </c:pt>
                <c:pt idx="5">
                  <c:v>45657</c:v>
                </c:pt>
              </c:numCache>
            </c:numRef>
          </c:cat>
          <c:val>
            <c:numRef>
              <c:f>YT_ALL!$B$20:$G$20</c:f>
              <c:numCache>
                <c:formatCode>0.00%</c:formatCode>
                <c:ptCount val="6"/>
                <c:pt idx="0">
                  <c:v>0.58021800000000001</c:v>
                </c:pt>
                <c:pt idx="1">
                  <c:v>0.595221</c:v>
                </c:pt>
                <c:pt idx="2">
                  <c:v>0.58399199999999996</c:v>
                </c:pt>
                <c:pt idx="3">
                  <c:v>0.64130399999999999</c:v>
                </c:pt>
                <c:pt idx="4">
                  <c:v>0.69989000000000001</c:v>
                </c:pt>
                <c:pt idx="5">
                  <c:v>0.72317600000000004</c:v>
                </c:pt>
              </c:numCache>
            </c:numRef>
          </c:val>
          <c:extLst>
            <c:ext xmlns:c16="http://schemas.microsoft.com/office/drawing/2014/chart" uri="{C3380CC4-5D6E-409C-BE32-E72D297353CC}">
              <c16:uniqueId val="{00000001-A715-432F-9394-9FEC6C041CA9}"/>
            </c:ext>
          </c:extLst>
        </c:ser>
        <c:dLbls>
          <c:showLegendKey val="0"/>
          <c:showVal val="0"/>
          <c:showCatName val="0"/>
          <c:showSerName val="0"/>
          <c:showPercent val="0"/>
          <c:showBubbleSize val="0"/>
        </c:dLbls>
        <c:gapWidth val="150"/>
        <c:shape val="box"/>
        <c:axId val="152994639"/>
        <c:axId val="1"/>
        <c:axId val="0"/>
      </c:bar3DChart>
      <c:dateAx>
        <c:axId val="152994639"/>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52994639"/>
        <c:crosses val="autoZero"/>
        <c:crossBetween val="between"/>
      </c:valAx>
      <c:spPr>
        <a:noFill/>
        <a:ln w="25400">
          <a:noFill/>
        </a:ln>
      </c:spPr>
    </c:plotArea>
    <c:legend>
      <c:legendPos val="r"/>
      <c:layout>
        <c:manualLayout>
          <c:xMode val="edge"/>
          <c:yMode val="edge"/>
          <c:x val="0.81931034482758625"/>
          <c:y val="0.10734463276836158"/>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[0]!DEBT_LAST_5_YEARS_UAH</c:f>
          <c:strCache>
            <c:ptCount val="1"/>
            <c:pt idx="0">
              <c:v>Державний та гарантований державою борг України за останні 5 років
(млрд. грн)</c:v>
            </c:pt>
          </c:strCache>
        </c:strRef>
      </c:tx>
      <c:layout>
        <c:manualLayout>
          <c:xMode val="edge"/>
          <c:yMode val="edge"/>
          <c:x val="0.22605364794044561"/>
          <c:y val="1.940301831351089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YTM_ALL!$A$6</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43830</c:v>
                </c:pt>
                <c:pt idx="1">
                  <c:v>44196</c:v>
                </c:pt>
                <c:pt idx="2">
                  <c:v>44561</c:v>
                </c:pt>
                <c:pt idx="3">
                  <c:v>44926</c:v>
                </c:pt>
                <c:pt idx="4">
                  <c:v>45291</c:v>
                </c:pt>
                <c:pt idx="5">
                  <c:v>45657</c:v>
                </c:pt>
              </c:numCache>
            </c:numRef>
          </c:cat>
          <c:val>
            <c:numRef>
              <c:f>YTM_ALL!$B$6:$G$6</c:f>
              <c:numCache>
                <c:formatCode>#\ ##0.00;\-#\ ##0.00;</c:formatCode>
                <c:ptCount val="6"/>
                <c:pt idx="0">
                  <c:v>1998.2958999647599</c:v>
                </c:pt>
                <c:pt idx="1">
                  <c:v>2551.8817252042099</c:v>
                </c:pt>
                <c:pt idx="2">
                  <c:v>2672.0600203157701</c:v>
                </c:pt>
                <c:pt idx="3">
                  <c:v>4075.5678381492698</c:v>
                </c:pt>
                <c:pt idx="4">
                  <c:v>5519.6354586101497</c:v>
                </c:pt>
                <c:pt idx="5">
                  <c:v>6980.93401478539</c:v>
                </c:pt>
              </c:numCache>
            </c:numRef>
          </c:val>
          <c:extLst>
            <c:ext xmlns:c16="http://schemas.microsoft.com/office/drawing/2014/chart" uri="{C3380CC4-5D6E-409C-BE32-E72D297353CC}">
              <c16:uniqueId val="{00000000-7517-4CE3-8542-C29FE1F0A526}"/>
            </c:ext>
          </c:extLst>
        </c:ser>
        <c:ser>
          <c:idx val="1"/>
          <c:order val="1"/>
          <c:tx>
            <c:strRef>
              <c:f>YTM_ALL!$A$7</c:f>
              <c:strCache>
                <c:ptCount val="1"/>
                <c:pt idx="0">
                  <c:v>Внутрішній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43830</c:v>
                </c:pt>
                <c:pt idx="1">
                  <c:v>44196</c:v>
                </c:pt>
                <c:pt idx="2">
                  <c:v>44561</c:v>
                </c:pt>
                <c:pt idx="3">
                  <c:v>44926</c:v>
                </c:pt>
                <c:pt idx="4">
                  <c:v>45291</c:v>
                </c:pt>
                <c:pt idx="5">
                  <c:v>45657</c:v>
                </c:pt>
              </c:numCache>
            </c:numRef>
          </c:cat>
          <c:val>
            <c:numRef>
              <c:f>YTM_ALL!$B$7:$G$7</c:f>
              <c:numCache>
                <c:formatCode>#,##0.00</c:formatCode>
                <c:ptCount val="6"/>
                <c:pt idx="0">
                  <c:v>838.84791942062998</c:v>
                </c:pt>
                <c:pt idx="1">
                  <c:v>1032.9472373433</c:v>
                </c:pt>
                <c:pt idx="2">
                  <c:v>1111.59786125906</c:v>
                </c:pt>
                <c:pt idx="3">
                  <c:v>1461.888183668</c:v>
                </c:pt>
                <c:pt idx="4">
                  <c:v>1656.49630379928</c:v>
                </c:pt>
                <c:pt idx="5">
                  <c:v>1932.48958136344</c:v>
                </c:pt>
              </c:numCache>
            </c:numRef>
          </c:val>
          <c:extLst>
            <c:ext xmlns:c16="http://schemas.microsoft.com/office/drawing/2014/chart" uri="{C3380CC4-5D6E-409C-BE32-E72D297353CC}">
              <c16:uniqueId val="{00000001-7517-4CE3-8542-C29FE1F0A526}"/>
            </c:ext>
          </c:extLst>
        </c:ser>
        <c:ser>
          <c:idx val="0"/>
          <c:order val="2"/>
          <c:tx>
            <c:strRef>
              <c:f>YTM_ALL!$A$8</c:f>
              <c:strCache>
                <c:ptCount val="1"/>
                <c:pt idx="0">
                  <c:v>Зовнішній борг</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43830</c:v>
                </c:pt>
                <c:pt idx="1">
                  <c:v>44196</c:v>
                </c:pt>
                <c:pt idx="2">
                  <c:v>44561</c:v>
                </c:pt>
                <c:pt idx="3">
                  <c:v>44926</c:v>
                </c:pt>
                <c:pt idx="4">
                  <c:v>45291</c:v>
                </c:pt>
                <c:pt idx="5">
                  <c:v>45657</c:v>
                </c:pt>
              </c:numCache>
            </c:numRef>
          </c:cat>
          <c:val>
            <c:numRef>
              <c:f>YTM_ALL!$B$8:$G$8</c:f>
              <c:numCache>
                <c:formatCode>#,##0.00</c:formatCode>
                <c:ptCount val="6"/>
                <c:pt idx="0">
                  <c:v>1159.4479805441299</c:v>
                </c:pt>
                <c:pt idx="1">
                  <c:v>1518.9344878609099</c:v>
                </c:pt>
                <c:pt idx="2">
                  <c:v>1560.4621590567101</c:v>
                </c:pt>
                <c:pt idx="3">
                  <c:v>2613.6796544812701</c:v>
                </c:pt>
                <c:pt idx="4">
                  <c:v>3863.13915481087</c:v>
                </c:pt>
                <c:pt idx="5">
                  <c:v>5048.4444334219497</c:v>
                </c:pt>
              </c:numCache>
            </c:numRef>
          </c:val>
          <c:extLst>
            <c:ext xmlns:c16="http://schemas.microsoft.com/office/drawing/2014/chart" uri="{C3380CC4-5D6E-409C-BE32-E72D297353CC}">
              <c16:uniqueId val="{00000002-7517-4CE3-8542-C29FE1F0A526}"/>
            </c:ext>
          </c:extLst>
        </c:ser>
        <c:dLbls>
          <c:showLegendKey val="0"/>
          <c:showVal val="0"/>
          <c:showCatName val="0"/>
          <c:showSerName val="0"/>
          <c:showPercent val="0"/>
          <c:showBubbleSize val="0"/>
        </c:dLbls>
        <c:gapWidth val="150"/>
        <c:shape val="box"/>
        <c:axId val="152993807"/>
        <c:axId val="1"/>
        <c:axId val="0"/>
      </c:bar3DChart>
      <c:dateAx>
        <c:axId val="15299380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52993807"/>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[0]!DEBT_LAST_5_YEARS_USD</c:f>
          <c:strCache>
            <c:ptCount val="1"/>
            <c:pt idx="0">
              <c:v>Державний та гарантований державою борг України за останні 5 років
(млрд. дол. США)</c:v>
            </c:pt>
          </c:strCache>
        </c:strRef>
      </c:tx>
      <c:layout>
        <c:manualLayout>
          <c:xMode val="edge"/>
          <c:yMode val="edge"/>
          <c:x val="0.22792026548076841"/>
          <c:y val="1.9287818078848402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YTM_ALL!$A$12</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43830</c:v>
                </c:pt>
                <c:pt idx="1">
                  <c:v>44196</c:v>
                </c:pt>
                <c:pt idx="2">
                  <c:v>44561</c:v>
                </c:pt>
                <c:pt idx="3">
                  <c:v>44926</c:v>
                </c:pt>
                <c:pt idx="4">
                  <c:v>45291</c:v>
                </c:pt>
                <c:pt idx="5">
                  <c:v>45657</c:v>
                </c:pt>
              </c:numCache>
            </c:numRef>
          </c:cat>
          <c:val>
            <c:numRef>
              <c:f>YTM_ALL!$B$12:$G$12</c:f>
              <c:numCache>
                <c:formatCode>#\ ##0.00;\-#\ ##0.00;</c:formatCode>
                <c:ptCount val="6"/>
                <c:pt idx="0">
                  <c:v>84.365406859860002</c:v>
                </c:pt>
                <c:pt idx="1">
                  <c:v>90.253504035259994</c:v>
                </c:pt>
                <c:pt idx="2">
                  <c:v>97.955877598960001</c:v>
                </c:pt>
                <c:pt idx="3">
                  <c:v>111.44992803011999</c:v>
                </c:pt>
                <c:pt idx="4">
                  <c:v>145.32087120896</c:v>
                </c:pt>
                <c:pt idx="5">
                  <c:v>166.05851744312</c:v>
                </c:pt>
              </c:numCache>
            </c:numRef>
          </c:val>
          <c:extLst>
            <c:ext xmlns:c16="http://schemas.microsoft.com/office/drawing/2014/chart" uri="{C3380CC4-5D6E-409C-BE32-E72D297353CC}">
              <c16:uniqueId val="{00000000-DE06-46E8-935E-C29AC400169B}"/>
            </c:ext>
          </c:extLst>
        </c:ser>
        <c:ser>
          <c:idx val="1"/>
          <c:order val="1"/>
          <c:tx>
            <c:strRef>
              <c:f>YTM_ALL!$A$13</c:f>
              <c:strCache>
                <c:ptCount val="1"/>
                <c:pt idx="0">
                  <c:v>Внутрішній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43830</c:v>
                </c:pt>
                <c:pt idx="1">
                  <c:v>44196</c:v>
                </c:pt>
                <c:pt idx="2">
                  <c:v>44561</c:v>
                </c:pt>
                <c:pt idx="3">
                  <c:v>44926</c:v>
                </c:pt>
                <c:pt idx="4">
                  <c:v>45291</c:v>
                </c:pt>
                <c:pt idx="5">
                  <c:v>45657</c:v>
                </c:pt>
              </c:numCache>
            </c:numRef>
          </c:cat>
          <c:val>
            <c:numRef>
              <c:f>YTM_ALL!$B$13:$G$13</c:f>
              <c:numCache>
                <c:formatCode>#,##0.00</c:formatCode>
                <c:ptCount val="6"/>
                <c:pt idx="0">
                  <c:v>35.415048400320003</c:v>
                </c:pt>
                <c:pt idx="1">
                  <c:v>36.532691438050001</c:v>
                </c:pt>
                <c:pt idx="2">
                  <c:v>40.750410997160003</c:v>
                </c:pt>
                <c:pt idx="3">
                  <c:v>39.976596962419997</c:v>
                </c:pt>
                <c:pt idx="4">
                  <c:v>43.612207332799997</c:v>
                </c:pt>
                <c:pt idx="5">
                  <c:v>45.968971226080001</c:v>
                </c:pt>
              </c:numCache>
            </c:numRef>
          </c:val>
          <c:extLst>
            <c:ext xmlns:c16="http://schemas.microsoft.com/office/drawing/2014/chart" uri="{C3380CC4-5D6E-409C-BE32-E72D297353CC}">
              <c16:uniqueId val="{00000001-DE06-46E8-935E-C29AC400169B}"/>
            </c:ext>
          </c:extLst>
        </c:ser>
        <c:ser>
          <c:idx val="0"/>
          <c:order val="2"/>
          <c:tx>
            <c:strRef>
              <c:f>YTM_ALL!$A$14</c:f>
              <c:strCache>
                <c:ptCount val="1"/>
                <c:pt idx="0">
                  <c:v>Зовнішній борг</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43830</c:v>
                </c:pt>
                <c:pt idx="1">
                  <c:v>44196</c:v>
                </c:pt>
                <c:pt idx="2">
                  <c:v>44561</c:v>
                </c:pt>
                <c:pt idx="3">
                  <c:v>44926</c:v>
                </c:pt>
                <c:pt idx="4">
                  <c:v>45291</c:v>
                </c:pt>
                <c:pt idx="5">
                  <c:v>45657</c:v>
                </c:pt>
              </c:numCache>
            </c:numRef>
          </c:cat>
          <c:val>
            <c:numRef>
              <c:f>YTM_ALL!$B$14:$G$14</c:f>
              <c:numCache>
                <c:formatCode>#,##0.00</c:formatCode>
                <c:ptCount val="6"/>
                <c:pt idx="0">
                  <c:v>48.950358459539999</c:v>
                </c:pt>
                <c:pt idx="1">
                  <c:v>53.720812597209999</c:v>
                </c:pt>
                <c:pt idx="2">
                  <c:v>57.205466601799998</c:v>
                </c:pt>
                <c:pt idx="3">
                  <c:v>71.473331067700002</c:v>
                </c:pt>
                <c:pt idx="4">
                  <c:v>101.70866387616</c:v>
                </c:pt>
                <c:pt idx="5">
                  <c:v>120.08954621704</c:v>
                </c:pt>
              </c:numCache>
            </c:numRef>
          </c:val>
          <c:extLst>
            <c:ext xmlns:c16="http://schemas.microsoft.com/office/drawing/2014/chart" uri="{C3380CC4-5D6E-409C-BE32-E72D297353CC}">
              <c16:uniqueId val="{00000002-DE06-46E8-935E-C29AC400169B}"/>
            </c:ext>
          </c:extLst>
        </c:ser>
        <c:dLbls>
          <c:showLegendKey val="0"/>
          <c:showVal val="0"/>
          <c:showCatName val="0"/>
          <c:showSerName val="0"/>
          <c:showPercent val="0"/>
          <c:showBubbleSize val="0"/>
        </c:dLbls>
        <c:gapWidth val="150"/>
        <c:shape val="box"/>
        <c:axId val="153406767"/>
        <c:axId val="1"/>
        <c:axId val="0"/>
      </c:bar3DChart>
      <c:dateAx>
        <c:axId val="153406767"/>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53406767"/>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MK_ALL!$A$10</c:f>
          <c:strCache>
            <c:ptCount val="1"/>
            <c:pt idx="0">
              <c:v>Державний та гарантований державою борг України за поточний рік (млрд. дол. США)</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0490693739424704"/>
          <c:w val="0.86157024793388426"/>
          <c:h val="0.82910321489001693"/>
        </c:manualLayout>
      </c:layout>
      <c:bar3DChart>
        <c:barDir val="col"/>
        <c:grouping val="stacked"/>
        <c:varyColors val="0"/>
        <c:ser>
          <c:idx val="1"/>
          <c:order val="0"/>
          <c:tx>
            <c:strRef>
              <c:f>MK_ALL!$A$13</c:f>
              <c:strCache>
                <c:ptCount val="1"/>
                <c:pt idx="0">
                  <c:v>Державний борг</c:v>
                </c:pt>
              </c:strCache>
            </c:strRef>
          </c:tx>
          <c:spPr>
            <a:solidFill>
              <a:srgbClr val="993366"/>
            </a:solidFill>
            <a:ln w="12700">
              <a:solidFill>
                <a:srgbClr val="000000"/>
              </a:solidFill>
              <a:prstDash val="solid"/>
            </a:ln>
          </c:spPr>
          <c:invertIfNegative val="0"/>
          <c:cat>
            <c:numRef>
              <c:f>MK_ALL!$B$11:$N$11</c:f>
              <c:numCache>
                <c:formatCode>dd\.mm\.yyyy;@</c:formatCode>
                <c:ptCount val="13"/>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numCache>
            </c:numRef>
          </c:cat>
          <c:val>
            <c:numRef>
              <c:f>MK_ALL!$B$13:$N$13</c:f>
              <c:numCache>
                <c:formatCode>#,##0.00</c:formatCode>
                <c:ptCount val="13"/>
                <c:pt idx="0">
                  <c:v>136.59196737241001</c:v>
                </c:pt>
                <c:pt idx="1">
                  <c:v>136.08967760121999</c:v>
                </c:pt>
                <c:pt idx="2">
                  <c:v>135.24114610421</c:v>
                </c:pt>
                <c:pt idx="3">
                  <c:v>143.09929809056999</c:v>
                </c:pt>
                <c:pt idx="4">
                  <c:v>143.67824651477</c:v>
                </c:pt>
                <c:pt idx="5">
                  <c:v>143.15429573087999</c:v>
                </c:pt>
                <c:pt idx="6">
                  <c:v>144.31488679412001</c:v>
                </c:pt>
                <c:pt idx="7">
                  <c:v>147.45776710742001</c:v>
                </c:pt>
                <c:pt idx="8">
                  <c:v>147.60427772817999</c:v>
                </c:pt>
                <c:pt idx="9">
                  <c:v>148.74319034476</c:v>
                </c:pt>
                <c:pt idx="10">
                  <c:v>148.63548404817001</c:v>
                </c:pt>
                <c:pt idx="11">
                  <c:v>153.05552274812001</c:v>
                </c:pt>
                <c:pt idx="12">
                  <c:v>159.19557804599</c:v>
                </c:pt>
              </c:numCache>
            </c:numRef>
          </c:val>
          <c:extLst>
            <c:ext xmlns:c16="http://schemas.microsoft.com/office/drawing/2014/chart" uri="{C3380CC4-5D6E-409C-BE32-E72D297353CC}">
              <c16:uniqueId val="{00000000-A68C-4A26-AE76-AB21FB814E3F}"/>
            </c:ext>
          </c:extLst>
        </c:ser>
        <c:ser>
          <c:idx val="2"/>
          <c:order val="1"/>
          <c:tx>
            <c:strRef>
              <c:f>MK_ALL!$A$14</c:f>
              <c:strCache>
                <c:ptCount val="1"/>
                <c:pt idx="0">
                  <c:v>Гарантований державою борг</c:v>
                </c:pt>
              </c:strCache>
            </c:strRef>
          </c:tx>
          <c:invertIfNegative val="0"/>
          <c:cat>
            <c:numRef>
              <c:f>MK_ALL!$B$11:$N$11</c:f>
              <c:numCache>
                <c:formatCode>dd\.mm\.yyyy;@</c:formatCode>
                <c:ptCount val="13"/>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numCache>
            </c:numRef>
          </c:cat>
          <c:val>
            <c:numRef>
              <c:f>MK_ALL!$B$14:$N$14</c:f>
              <c:numCache>
                <c:formatCode>#,##0.00</c:formatCode>
                <c:ptCount val="13"/>
                <c:pt idx="0">
                  <c:v>8.7289038365499998</c:v>
                </c:pt>
                <c:pt idx="1">
                  <c:v>8.8106985994699993</c:v>
                </c:pt>
                <c:pt idx="2">
                  <c:v>8.4490557534100006</c:v>
                </c:pt>
                <c:pt idx="3">
                  <c:v>7.9504867738799998</c:v>
                </c:pt>
                <c:pt idx="4">
                  <c:v>7.8442549327600002</c:v>
                </c:pt>
                <c:pt idx="5">
                  <c:v>7.8428185402899997</c:v>
                </c:pt>
                <c:pt idx="6">
                  <c:v>7.8423842940000004</c:v>
                </c:pt>
                <c:pt idx="7">
                  <c:v>7.8950089007299997</c:v>
                </c:pt>
                <c:pt idx="8">
                  <c:v>7.11235646</c:v>
                </c:pt>
                <c:pt idx="9">
                  <c:v>6.9746575150099996</c:v>
                </c:pt>
                <c:pt idx="10">
                  <c:v>6.7620519038399998</c:v>
                </c:pt>
                <c:pt idx="11">
                  <c:v>6.71580633631</c:v>
                </c:pt>
                <c:pt idx="12">
                  <c:v>6.8629393971299999</c:v>
                </c:pt>
              </c:numCache>
            </c:numRef>
          </c:val>
          <c:extLst>
            <c:ext xmlns:c16="http://schemas.microsoft.com/office/drawing/2014/chart" uri="{C3380CC4-5D6E-409C-BE32-E72D297353CC}">
              <c16:uniqueId val="{00000001-A68C-4A26-AE76-AB21FB814E3F}"/>
            </c:ext>
          </c:extLst>
        </c:ser>
        <c:dLbls>
          <c:showLegendKey val="0"/>
          <c:showVal val="0"/>
          <c:showCatName val="0"/>
          <c:showSerName val="0"/>
          <c:showPercent val="0"/>
          <c:showBubbleSize val="0"/>
        </c:dLbls>
        <c:gapWidth val="150"/>
        <c:shape val="box"/>
        <c:axId val="151899551"/>
        <c:axId val="1"/>
        <c:axId val="0"/>
      </c:bar3DChart>
      <c:dateAx>
        <c:axId val="151899551"/>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51899551"/>
        <c:crosses val="autoZero"/>
        <c:crossBetween val="between"/>
      </c:valAx>
      <c:spPr>
        <a:noFill/>
        <a:ln w="25400">
          <a:noFill/>
        </a:ln>
      </c:spPr>
    </c:plotArea>
    <c:legend>
      <c:legendPos val="tr"/>
      <c:layout>
        <c:manualLayout>
          <c:xMode val="edge"/>
          <c:yMode val="edge"/>
          <c:wMode val="edge"/>
          <c:hMode val="edge"/>
          <c:x val="0.90805813452422923"/>
          <c:y val="0.45421083558585029"/>
          <c:w val="1"/>
          <c:h val="0.5794507776080228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UAH)</a:t>
            </a:r>
          </a:p>
        </c:rich>
      </c:tx>
      <c:layout>
        <c:manualLayout>
          <c:xMode val="edge"/>
          <c:yMode val="edge"/>
          <c:x val="0.22605364794044561"/>
          <c:y val="1.9403018313510895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YKM_ALL!$A$6</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43830</c:v>
                </c:pt>
                <c:pt idx="1">
                  <c:v>44196</c:v>
                </c:pt>
                <c:pt idx="2">
                  <c:v>44561</c:v>
                </c:pt>
                <c:pt idx="3">
                  <c:v>44926</c:v>
                </c:pt>
                <c:pt idx="4">
                  <c:v>45291</c:v>
                </c:pt>
                <c:pt idx="5">
                  <c:v>45657</c:v>
                </c:pt>
              </c:numCache>
            </c:numRef>
          </c:cat>
          <c:val>
            <c:numRef>
              <c:f>YKM_ALL!$B$6:$G$6</c:f>
              <c:numCache>
                <c:formatCode>#\ ##0.00;\-#\ ##0.00;</c:formatCode>
                <c:ptCount val="6"/>
                <c:pt idx="0">
                  <c:v>1998.2958999647599</c:v>
                </c:pt>
                <c:pt idx="1">
                  <c:v>2551.8817252042099</c:v>
                </c:pt>
                <c:pt idx="2">
                  <c:v>2672.0600203157701</c:v>
                </c:pt>
                <c:pt idx="3">
                  <c:v>4075.5678381492698</c:v>
                </c:pt>
                <c:pt idx="4">
                  <c:v>5519.6354586101497</c:v>
                </c:pt>
                <c:pt idx="5">
                  <c:v>6980.93401478539</c:v>
                </c:pt>
              </c:numCache>
            </c:numRef>
          </c:val>
          <c:extLst>
            <c:ext xmlns:c16="http://schemas.microsoft.com/office/drawing/2014/chart" uri="{C3380CC4-5D6E-409C-BE32-E72D297353CC}">
              <c16:uniqueId val="{00000000-3767-4029-B983-32314F6EF9CD}"/>
            </c:ext>
          </c:extLst>
        </c:ser>
        <c:ser>
          <c:idx val="1"/>
          <c:order val="1"/>
          <c:tx>
            <c:strRef>
              <c:f>YKM_ALL!$A$7</c:f>
              <c:strCache>
                <c:ptCount val="1"/>
                <c:pt idx="0">
                  <c:v>Державний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43830</c:v>
                </c:pt>
                <c:pt idx="1">
                  <c:v>44196</c:v>
                </c:pt>
                <c:pt idx="2">
                  <c:v>44561</c:v>
                </c:pt>
                <c:pt idx="3">
                  <c:v>44926</c:v>
                </c:pt>
                <c:pt idx="4">
                  <c:v>45291</c:v>
                </c:pt>
                <c:pt idx="5">
                  <c:v>45657</c:v>
                </c:pt>
              </c:numCache>
            </c:numRef>
          </c:cat>
          <c:val>
            <c:numRef>
              <c:f>YKM_ALL!$B$7:$G$7</c:f>
              <c:numCache>
                <c:formatCode>#,##0.00</c:formatCode>
                <c:ptCount val="6"/>
                <c:pt idx="0">
                  <c:v>1761.36913148087</c:v>
                </c:pt>
                <c:pt idx="1">
                  <c:v>2259.2315015926201</c:v>
                </c:pt>
                <c:pt idx="2">
                  <c:v>2362.7201507571899</c:v>
                </c:pt>
                <c:pt idx="3">
                  <c:v>3715.1336317660898</c:v>
                </c:pt>
                <c:pt idx="4">
                  <c:v>5188.0907415274296</c:v>
                </c:pt>
                <c:pt idx="5">
                  <c:v>6692.4229054677799</c:v>
                </c:pt>
              </c:numCache>
            </c:numRef>
          </c:val>
          <c:extLst>
            <c:ext xmlns:c16="http://schemas.microsoft.com/office/drawing/2014/chart" uri="{C3380CC4-5D6E-409C-BE32-E72D297353CC}">
              <c16:uniqueId val="{00000001-3767-4029-B983-32314F6EF9CD}"/>
            </c:ext>
          </c:extLst>
        </c:ser>
        <c:ser>
          <c:idx val="0"/>
          <c:order val="2"/>
          <c:tx>
            <c:strRef>
              <c:f>YKM_ALL!$A$8</c:f>
              <c:strCache>
                <c:ptCount val="1"/>
                <c:pt idx="0">
                  <c:v>Гарантований державою борг</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43830</c:v>
                </c:pt>
                <c:pt idx="1">
                  <c:v>44196</c:v>
                </c:pt>
                <c:pt idx="2">
                  <c:v>44561</c:v>
                </c:pt>
                <c:pt idx="3">
                  <c:v>44926</c:v>
                </c:pt>
                <c:pt idx="4">
                  <c:v>45291</c:v>
                </c:pt>
                <c:pt idx="5">
                  <c:v>45657</c:v>
                </c:pt>
              </c:numCache>
            </c:numRef>
          </c:cat>
          <c:val>
            <c:numRef>
              <c:f>YKM_ALL!$B$8:$G$8</c:f>
              <c:numCache>
                <c:formatCode>#,##0.00</c:formatCode>
                <c:ptCount val="6"/>
                <c:pt idx="0">
                  <c:v>236.92676848388999</c:v>
                </c:pt>
                <c:pt idx="1">
                  <c:v>292.65022361158998</c:v>
                </c:pt>
                <c:pt idx="2">
                  <c:v>309.33986955858001</c:v>
                </c:pt>
                <c:pt idx="3">
                  <c:v>360.43420638318003</c:v>
                </c:pt>
                <c:pt idx="4">
                  <c:v>331.54471708272001</c:v>
                </c:pt>
                <c:pt idx="5">
                  <c:v>288.51110931761002</c:v>
                </c:pt>
              </c:numCache>
            </c:numRef>
          </c:val>
          <c:extLst>
            <c:ext xmlns:c16="http://schemas.microsoft.com/office/drawing/2014/chart" uri="{C3380CC4-5D6E-409C-BE32-E72D297353CC}">
              <c16:uniqueId val="{00000002-3767-4029-B983-32314F6EF9CD}"/>
            </c:ext>
          </c:extLst>
        </c:ser>
        <c:dLbls>
          <c:showLegendKey val="0"/>
          <c:showVal val="0"/>
          <c:showCatName val="0"/>
          <c:showSerName val="0"/>
          <c:showPercent val="0"/>
          <c:showBubbleSize val="0"/>
        </c:dLbls>
        <c:gapWidth val="150"/>
        <c:shape val="box"/>
        <c:axId val="152997135"/>
        <c:axId val="1"/>
        <c:axId val="0"/>
      </c:bar3DChart>
      <c:dateAx>
        <c:axId val="152997135"/>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52997135"/>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USD)</a:t>
            </a:r>
          </a:p>
        </c:rich>
      </c:tx>
      <c:layout>
        <c:manualLayout>
          <c:xMode val="edge"/>
          <c:yMode val="edge"/>
          <c:x val="0.22792026548076841"/>
          <c:y val="1.9287818078848402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YKM_ALL!$A$12</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43830</c:v>
                </c:pt>
                <c:pt idx="1">
                  <c:v>44196</c:v>
                </c:pt>
                <c:pt idx="2">
                  <c:v>44561</c:v>
                </c:pt>
                <c:pt idx="3">
                  <c:v>44926</c:v>
                </c:pt>
                <c:pt idx="4">
                  <c:v>45291</c:v>
                </c:pt>
                <c:pt idx="5">
                  <c:v>45657</c:v>
                </c:pt>
              </c:numCache>
            </c:numRef>
          </c:cat>
          <c:val>
            <c:numRef>
              <c:f>YKM_ALL!$B$12:$G$12</c:f>
              <c:numCache>
                <c:formatCode>#\ ##0.00;\-#\ ##0.00;</c:formatCode>
                <c:ptCount val="6"/>
                <c:pt idx="0">
                  <c:v>84.365406859860002</c:v>
                </c:pt>
                <c:pt idx="1">
                  <c:v>90.253504035260008</c:v>
                </c:pt>
                <c:pt idx="2">
                  <c:v>97.955877598960001</c:v>
                </c:pt>
                <c:pt idx="3">
                  <c:v>111.44992803012001</c:v>
                </c:pt>
                <c:pt idx="4">
                  <c:v>145.32087120896</c:v>
                </c:pt>
                <c:pt idx="5">
                  <c:v>166.05851744312</c:v>
                </c:pt>
              </c:numCache>
            </c:numRef>
          </c:val>
          <c:extLst>
            <c:ext xmlns:c16="http://schemas.microsoft.com/office/drawing/2014/chart" uri="{C3380CC4-5D6E-409C-BE32-E72D297353CC}">
              <c16:uniqueId val="{00000000-4C27-42CA-A707-ABA2361210E6}"/>
            </c:ext>
          </c:extLst>
        </c:ser>
        <c:ser>
          <c:idx val="1"/>
          <c:order val="1"/>
          <c:tx>
            <c:strRef>
              <c:f>YKM_ALL!$A$13</c:f>
              <c:strCache>
                <c:ptCount val="1"/>
                <c:pt idx="0">
                  <c:v>Державний борг</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43830</c:v>
                </c:pt>
                <c:pt idx="1">
                  <c:v>44196</c:v>
                </c:pt>
                <c:pt idx="2">
                  <c:v>44561</c:v>
                </c:pt>
                <c:pt idx="3">
                  <c:v>44926</c:v>
                </c:pt>
                <c:pt idx="4">
                  <c:v>45291</c:v>
                </c:pt>
                <c:pt idx="5">
                  <c:v>45657</c:v>
                </c:pt>
              </c:numCache>
            </c:numRef>
          </c:cat>
          <c:val>
            <c:numRef>
              <c:f>YKM_ALL!$B$13:$G$13</c:f>
              <c:numCache>
                <c:formatCode>#,##0.00</c:formatCode>
                <c:ptCount val="6"/>
                <c:pt idx="0">
                  <c:v>74.362672420240003</c:v>
                </c:pt>
                <c:pt idx="1">
                  <c:v>79.903217077660003</c:v>
                </c:pt>
                <c:pt idx="2">
                  <c:v>86.615691312519999</c:v>
                </c:pt>
                <c:pt idx="3">
                  <c:v>101.59354286955001</c:v>
                </c:pt>
                <c:pt idx="4">
                  <c:v>136.59196737241001</c:v>
                </c:pt>
                <c:pt idx="5">
                  <c:v>159.19557804599</c:v>
                </c:pt>
              </c:numCache>
            </c:numRef>
          </c:val>
          <c:extLst>
            <c:ext xmlns:c16="http://schemas.microsoft.com/office/drawing/2014/chart" uri="{C3380CC4-5D6E-409C-BE32-E72D297353CC}">
              <c16:uniqueId val="{00000001-4C27-42CA-A707-ABA2361210E6}"/>
            </c:ext>
          </c:extLst>
        </c:ser>
        <c:ser>
          <c:idx val="0"/>
          <c:order val="2"/>
          <c:tx>
            <c:strRef>
              <c:f>YKM_ALL!$A$14</c:f>
              <c:strCache>
                <c:ptCount val="1"/>
                <c:pt idx="0">
                  <c:v>Гарантований державою борг</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43830</c:v>
                </c:pt>
                <c:pt idx="1">
                  <c:v>44196</c:v>
                </c:pt>
                <c:pt idx="2">
                  <c:v>44561</c:v>
                </c:pt>
                <c:pt idx="3">
                  <c:v>44926</c:v>
                </c:pt>
                <c:pt idx="4">
                  <c:v>45291</c:v>
                </c:pt>
                <c:pt idx="5">
                  <c:v>45657</c:v>
                </c:pt>
              </c:numCache>
            </c:numRef>
          </c:cat>
          <c:val>
            <c:numRef>
              <c:f>YKM_ALL!$B$14:$G$14</c:f>
              <c:numCache>
                <c:formatCode>#,##0.00</c:formatCode>
                <c:ptCount val="6"/>
                <c:pt idx="0">
                  <c:v>10.002734439619999</c:v>
                </c:pt>
                <c:pt idx="1">
                  <c:v>10.3502869576</c:v>
                </c:pt>
                <c:pt idx="2">
                  <c:v>11.34018628644</c:v>
                </c:pt>
                <c:pt idx="3">
                  <c:v>9.8563851605699995</c:v>
                </c:pt>
                <c:pt idx="4">
                  <c:v>8.7289038365499998</c:v>
                </c:pt>
                <c:pt idx="5">
                  <c:v>6.8629393971299999</c:v>
                </c:pt>
              </c:numCache>
            </c:numRef>
          </c:val>
          <c:extLst>
            <c:ext xmlns:c16="http://schemas.microsoft.com/office/drawing/2014/chart" uri="{C3380CC4-5D6E-409C-BE32-E72D297353CC}">
              <c16:uniqueId val="{00000002-4C27-42CA-A707-ABA2361210E6}"/>
            </c:ext>
          </c:extLst>
        </c:ser>
        <c:dLbls>
          <c:showLegendKey val="0"/>
          <c:showVal val="0"/>
          <c:showCatName val="0"/>
          <c:showSerName val="0"/>
          <c:showPercent val="0"/>
          <c:showBubbleSize val="0"/>
        </c:dLbls>
        <c:gapWidth val="150"/>
        <c:shape val="box"/>
        <c:axId val="152995055"/>
        <c:axId val="1"/>
        <c:axId val="0"/>
      </c:bar3DChart>
      <c:dateAx>
        <c:axId val="152995055"/>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52995055"/>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31.12.2024</c:v>
            </c:pt>
          </c:strCache>
        </c:strRef>
      </c:tx>
      <c:layout>
        <c:manualLayout>
          <c:xMode val="edge"/>
          <c:yMode val="edge"/>
          <c:x val="0.29383998106794029"/>
          <c:y val="9.352634006523243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27685950413223143"/>
          <c:y val="0.39932318104906939"/>
          <c:w val="0.4462809917355372"/>
          <c:h val="0.29103214890016921"/>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8014-4CA8-86C7-CFB3F30AF9B7}"/>
              </c:ext>
            </c:extLst>
          </c:dPt>
          <c:dPt>
            <c:idx val="1"/>
            <c:bubble3D val="0"/>
            <c:extLst>
              <c:ext xmlns:c16="http://schemas.microsoft.com/office/drawing/2014/chart" uri="{C3380CC4-5D6E-409C-BE32-E72D297353CC}">
                <c16:uniqueId val="{00000001-8014-4CA8-86C7-CFB3F30AF9B7}"/>
              </c:ext>
            </c:extLst>
          </c:dPt>
          <c:dLbls>
            <c:dLbl>
              <c:idx val="0"/>
              <c:layout>
                <c:manualLayout>
                  <c:x val="2.5279264759873566E-2"/>
                  <c:y val="2.322981200953942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014-4CA8-86C7-CFB3F30AF9B7}"/>
                </c:ext>
              </c:extLst>
            </c:dLbl>
            <c:dLbl>
              <c:idx val="2"/>
              <c:layout>
                <c:manualLayout>
                  <c:xMode val="edge"/>
                  <c:yMode val="edge"/>
                  <c:x val="0.50723140495867769"/>
                  <c:y val="0.43993231810490696"/>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014-4CA8-86C7-CFB3F30AF9B7}"/>
                </c:ext>
              </c:extLst>
            </c:dLbl>
            <c:dLbl>
              <c:idx val="3"/>
              <c:layout>
                <c:manualLayout>
                  <c:xMode val="edge"/>
                  <c:yMode val="edge"/>
                  <c:x val="0.52169421487603307"/>
                  <c:y val="0.4500846023688663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014-4CA8-86C7-CFB3F30AF9B7}"/>
                </c:ext>
              </c:extLst>
            </c:dLbl>
            <c:dLbl>
              <c:idx val="4"/>
              <c:layout>
                <c:manualLayout>
                  <c:xMode val="edge"/>
                  <c:yMode val="edge"/>
                  <c:x val="0.50929752066115708"/>
                  <c:y val="0.1489001692047377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014-4CA8-86C7-CFB3F30AF9B7}"/>
                </c:ext>
              </c:extLst>
            </c:dLbl>
            <c:dLbl>
              <c:idx val="5"/>
              <c:layout>
                <c:manualLayout>
                  <c:xMode val="edge"/>
                  <c:yMode val="edge"/>
                  <c:x val="0.6776859504132231"/>
                  <c:y val="0.2791878172588832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014-4CA8-86C7-CFB3F30AF9B7}"/>
                </c:ext>
              </c:extLst>
            </c:dLbl>
            <c:dLbl>
              <c:idx val="6"/>
              <c:layout>
                <c:manualLayout>
                  <c:xMode val="edge"/>
                  <c:yMode val="edge"/>
                  <c:x val="0.59400826446280997"/>
                  <c:y val="0.3485617597292724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014-4CA8-86C7-CFB3F30AF9B7}"/>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KIND_CMP!$A$8:$A$9</c:f>
              <c:strCache>
                <c:ptCount val="2"/>
                <c:pt idx="0">
                  <c:v>Державний борг</c:v>
                </c:pt>
                <c:pt idx="1">
                  <c:v>Гарантований державою борг</c:v>
                </c:pt>
              </c:strCache>
            </c:strRef>
          </c:cat>
          <c:val>
            <c:numRef>
              <c:f>KIND_CMP!$F$8:$F$9</c:f>
              <c:numCache>
                <c:formatCode>#,##0.00</c:formatCode>
                <c:ptCount val="2"/>
                <c:pt idx="0">
                  <c:v>6692.4229054677799</c:v>
                </c:pt>
                <c:pt idx="1">
                  <c:v>288.51110931761002</c:v>
                </c:pt>
              </c:numCache>
            </c:numRef>
          </c:val>
          <c:extLst>
            <c:ext xmlns:c16="http://schemas.microsoft.com/office/drawing/2014/chart" uri="{C3380CC4-5D6E-409C-BE32-E72D297353CC}">
              <c16:uniqueId val="{00000007-8014-4CA8-86C7-CFB3F30AF9B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[0]!DEBT_BY_REPAYMENT</c:f>
          <c:strCache>
            <c:ptCount val="1"/>
            <c:pt idx="0">
              <c:v>Структура державного та гарантованого державою боргу
в розрізі термінів погашення</c:v>
            </c:pt>
          </c:strCache>
        </c:strRef>
      </c:tx>
      <c:layout>
        <c:manualLayout>
          <c:xMode val="edge"/>
          <c:yMode val="edge"/>
          <c:x val="0.25542916101004615"/>
          <c:y val="2.033901022553176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335056876938985"/>
          <c:y val="0.42203389830508475"/>
          <c:w val="0.43329886246122029"/>
          <c:h val="0.28135593220338984"/>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1FC-4A64-BB09-EF71ECDCAA5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C1FC-4A64-BB09-EF71ECDCAA5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C1FC-4A64-BB09-EF71ECDCAA5C}"/>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1"/>
            <c:showCatName val="1"/>
            <c:showSerName val="0"/>
            <c:showPercent val="1"/>
            <c:showBubbleSize val="0"/>
            <c:showLeaderLines val="0"/>
            <c:extLst>
              <c:ext xmlns:c15="http://schemas.microsoft.com/office/drawing/2012/chart" uri="{CE6537A1-D6FC-4f65-9D91-7224C49458BB}"/>
            </c:extLst>
          </c:dLbls>
          <c:cat>
            <c:strRef>
              <c:f>DTR!$A$7:$A$9</c:f>
              <c:strCache>
                <c:ptCount val="3"/>
                <c:pt idx="0">
                  <c:v>2024.12.31-2024.12.31</c:v>
                </c:pt>
                <c:pt idx="1">
                  <c:v>2025-2029</c:v>
                </c:pt>
                <c:pt idx="2">
                  <c:v>2029-13.01.2070</c:v>
                </c:pt>
              </c:strCache>
            </c:strRef>
          </c:cat>
          <c:val>
            <c:numRef>
              <c:f>DTR!$B$7:$B$9</c:f>
              <c:numCache>
                <c:formatCode>#,##0.00</c:formatCode>
                <c:ptCount val="3"/>
                <c:pt idx="0">
                  <c:v>0.26122529081000001</c:v>
                </c:pt>
                <c:pt idx="1">
                  <c:v>36.517266871140002</c:v>
                </c:pt>
                <c:pt idx="2">
                  <c:v>129.28002528117</c:v>
                </c:pt>
              </c:numCache>
            </c:numRef>
          </c:val>
          <c:extLst>
            <c:ext xmlns:c16="http://schemas.microsoft.com/office/drawing/2014/chart" uri="{C3380CC4-5D6E-409C-BE32-E72D297353CC}">
              <c16:uniqueId val="{00000003-C1FC-4A64-BB09-EF71ECDCAA5C}"/>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(в розрізі середнього терміну обігу та середньої ставки)</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615702479338845"/>
          <c:y val="0.44162436548223349"/>
          <c:w val="0.42768595041322316"/>
          <c:h val="0.27749576988155666"/>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01BF-4D42-8A66-FAB0F8F8BB7F}"/>
              </c:ext>
            </c:extLst>
          </c:dPt>
          <c:dPt>
            <c:idx val="1"/>
            <c:bubble3D val="0"/>
            <c:extLst>
              <c:ext xmlns:c16="http://schemas.microsoft.com/office/drawing/2014/chart" uri="{C3380CC4-5D6E-409C-BE32-E72D297353CC}">
                <c16:uniqueId val="{00000001-01BF-4D42-8A66-FAB0F8F8BB7F}"/>
              </c:ext>
            </c:extLst>
          </c:dPt>
          <c:dPt>
            <c:idx val="2"/>
            <c:bubble3D val="0"/>
            <c:extLst>
              <c:ext xmlns:c16="http://schemas.microsoft.com/office/drawing/2014/chart" uri="{C3380CC4-5D6E-409C-BE32-E72D297353CC}">
                <c16:uniqueId val="{00000002-01BF-4D42-8A66-FAB0F8F8BB7F}"/>
              </c:ext>
            </c:extLst>
          </c:dPt>
          <c:dPt>
            <c:idx val="3"/>
            <c:bubble3D val="0"/>
            <c:extLst>
              <c:ext xmlns:c16="http://schemas.microsoft.com/office/drawing/2014/chart" uri="{C3380CC4-5D6E-409C-BE32-E72D297353CC}">
                <c16:uniqueId val="{00000003-01BF-4D42-8A66-FAB0F8F8BB7F}"/>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(DEBT_TERM!$I$11,DEBT_TERM!$I$47,DEBT_TERM!$I$50,DEBT_TERM!$I$52)</c:f>
              <c:strCache>
                <c:ptCount val="4"/>
                <c:pt idx="0">
                  <c:v>      Державний внутрішній борг; 13,114%; 6,55р.</c:v>
                </c:pt>
                <c:pt idx="1">
                  <c:v>      Державний зовнішній борг; 1,939%; 17,99р.</c:v>
                </c:pt>
                <c:pt idx="2">
                  <c:v>      Гарантований внутрішній борг; 6,861%; 5,15р.</c:v>
                </c:pt>
                <c:pt idx="3">
                  <c:v>      Гарантований зовнішній борг; 5,25%; 13,16р.</c:v>
                </c:pt>
              </c:strCache>
            </c:strRef>
          </c:cat>
          <c:val>
            <c:numRef>
              <c:f>(DEBT_TERM!$J$11,DEBT_TERM!$J$47,DEBT_TERM!$J$50,DEBT_TERM!$J$52)</c:f>
              <c:numCache>
                <c:formatCode>#,##0.00</c:formatCode>
                <c:ptCount val="4"/>
                <c:pt idx="0">
                  <c:v>1862713085.75</c:v>
                </c:pt>
                <c:pt idx="1">
                  <c:v>4804338067.3800001</c:v>
                </c:pt>
                <c:pt idx="2">
                  <c:v>68666539.849999994</c:v>
                </c:pt>
                <c:pt idx="3">
                  <c:v>218574548.19999999</c:v>
                </c:pt>
              </c:numCache>
            </c:numRef>
          </c:val>
          <c:extLst>
            <c:ext xmlns:c16="http://schemas.microsoft.com/office/drawing/2014/chart" uri="{C3380CC4-5D6E-409C-BE32-E72D297353CC}">
              <c16:uniqueId val="{00000004-01BF-4D42-8A66-FAB0F8F8BB7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(в розрізі середнього терміну обігу та середньої ставки)</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7272727272727271"/>
          <c:y val="0.43147208121827413"/>
          <c:w val="0.45454545454545453"/>
          <c:h val="0.2961082910321489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5666-4514-867D-1EEDAB95126F}"/>
              </c:ext>
            </c:extLst>
          </c:dPt>
          <c:dPt>
            <c:idx val="1"/>
            <c:bubble3D val="0"/>
            <c:extLst>
              <c:ext xmlns:c16="http://schemas.microsoft.com/office/drawing/2014/chart" uri="{C3380CC4-5D6E-409C-BE32-E72D297353CC}">
                <c16:uniqueId val="{00000001-5666-4514-867D-1EEDAB95126F}"/>
              </c:ext>
            </c:extLst>
          </c:dPt>
          <c:dPt>
            <c:idx val="2"/>
            <c:bubble3D val="0"/>
            <c:extLst>
              <c:ext xmlns:c16="http://schemas.microsoft.com/office/drawing/2014/chart" uri="{C3380CC4-5D6E-409C-BE32-E72D297353CC}">
                <c16:uniqueId val="{00000002-5666-4514-867D-1EEDAB95126F}"/>
              </c:ext>
            </c:extLst>
          </c:dPt>
          <c:dPt>
            <c:idx val="3"/>
            <c:bubble3D val="0"/>
            <c:extLst>
              <c:ext xmlns:c16="http://schemas.microsoft.com/office/drawing/2014/chart" uri="{C3380CC4-5D6E-409C-BE32-E72D297353CC}">
                <c16:uniqueId val="{00000003-5666-4514-867D-1EEDAB95126F}"/>
              </c:ext>
            </c:extLst>
          </c:dPt>
          <c:dPt>
            <c:idx val="4"/>
            <c:bubble3D val="0"/>
            <c:extLst>
              <c:ext xmlns:c16="http://schemas.microsoft.com/office/drawing/2014/chart" uri="{C3380CC4-5D6E-409C-BE32-E72D297353CC}">
                <c16:uniqueId val="{00000004-5666-4514-867D-1EEDAB95126F}"/>
              </c:ext>
            </c:extLst>
          </c:dPt>
          <c:dPt>
            <c:idx val="5"/>
            <c:bubble3D val="0"/>
            <c:extLst>
              <c:ext xmlns:c16="http://schemas.microsoft.com/office/drawing/2014/chart" uri="{C3380CC4-5D6E-409C-BE32-E72D297353CC}">
                <c16:uniqueId val="{00000005-5666-4514-867D-1EEDAB95126F}"/>
              </c:ext>
            </c:extLst>
          </c:dPt>
          <c:dPt>
            <c:idx val="6"/>
            <c:bubble3D val="0"/>
            <c:extLst>
              <c:ext xmlns:c16="http://schemas.microsoft.com/office/drawing/2014/chart" uri="{C3380CC4-5D6E-409C-BE32-E72D297353CC}">
                <c16:uniqueId val="{00000006-5666-4514-867D-1EEDAB95126F}"/>
              </c:ext>
            </c:extLst>
          </c:dPt>
          <c:dPt>
            <c:idx val="7"/>
            <c:bubble3D val="0"/>
            <c:extLst>
              <c:ext xmlns:c16="http://schemas.microsoft.com/office/drawing/2014/chart" uri="{C3380CC4-5D6E-409C-BE32-E72D297353CC}">
                <c16:uniqueId val="{00000007-5666-4514-867D-1EEDAB95126F}"/>
              </c:ext>
            </c:extLst>
          </c:dPt>
          <c:dPt>
            <c:idx val="8"/>
            <c:bubble3D val="0"/>
            <c:extLst>
              <c:ext xmlns:c16="http://schemas.microsoft.com/office/drawing/2014/chart" uri="{C3380CC4-5D6E-409C-BE32-E72D297353CC}">
                <c16:uniqueId val="{00000008-5666-4514-867D-1EEDAB95126F}"/>
              </c:ext>
            </c:extLst>
          </c:dPt>
          <c:dPt>
            <c:idx val="9"/>
            <c:bubble3D val="0"/>
            <c:extLst>
              <c:ext xmlns:c16="http://schemas.microsoft.com/office/drawing/2014/chart" uri="{C3380CC4-5D6E-409C-BE32-E72D297353CC}">
                <c16:uniqueId val="{00000009-5666-4514-867D-1EEDAB95126F}"/>
              </c:ext>
            </c:extLst>
          </c:dPt>
          <c:dPt>
            <c:idx val="10"/>
            <c:bubble3D val="0"/>
            <c:extLst>
              <c:ext xmlns:c16="http://schemas.microsoft.com/office/drawing/2014/chart" uri="{C3380CC4-5D6E-409C-BE32-E72D297353CC}">
                <c16:uniqueId val="{0000000A-5666-4514-867D-1EEDAB95126F}"/>
              </c:ext>
            </c:extLst>
          </c:dPt>
          <c:dPt>
            <c:idx val="11"/>
            <c:bubble3D val="0"/>
            <c:extLst>
              <c:ext xmlns:c16="http://schemas.microsoft.com/office/drawing/2014/chart" uri="{C3380CC4-5D6E-409C-BE32-E72D297353CC}">
                <c16:uniqueId val="{0000000B-5666-4514-867D-1EEDAB95126F}"/>
              </c:ext>
            </c:extLst>
          </c:dPt>
          <c:dPt>
            <c:idx val="12"/>
            <c:bubble3D val="0"/>
            <c:extLst>
              <c:ext xmlns:c16="http://schemas.microsoft.com/office/drawing/2014/chart" uri="{C3380CC4-5D6E-409C-BE32-E72D297353CC}">
                <c16:uniqueId val="{0000000C-5666-4514-867D-1EEDAB95126F}"/>
              </c:ext>
            </c:extLst>
          </c:dPt>
          <c:dPt>
            <c:idx val="13"/>
            <c:bubble3D val="0"/>
            <c:extLst>
              <c:ext xmlns:c16="http://schemas.microsoft.com/office/drawing/2014/chart" uri="{C3380CC4-5D6E-409C-BE32-E72D297353CC}">
                <c16:uniqueId val="{0000000D-5666-4514-867D-1EEDAB95126F}"/>
              </c:ext>
            </c:extLst>
          </c:dPt>
          <c:dPt>
            <c:idx val="14"/>
            <c:bubble3D val="0"/>
            <c:extLst>
              <c:ext xmlns:c16="http://schemas.microsoft.com/office/drawing/2014/chart" uri="{C3380CC4-5D6E-409C-BE32-E72D297353CC}">
                <c16:uniqueId val="{0000000E-5666-4514-867D-1EEDAB95126F}"/>
              </c:ext>
            </c:extLst>
          </c:dPt>
          <c:dPt>
            <c:idx val="15"/>
            <c:bubble3D val="0"/>
            <c:extLst>
              <c:ext xmlns:c16="http://schemas.microsoft.com/office/drawing/2014/chart" uri="{C3380CC4-5D6E-409C-BE32-E72D297353CC}">
                <c16:uniqueId val="{0000000F-5666-4514-867D-1EEDAB95126F}"/>
              </c:ext>
            </c:extLst>
          </c:dPt>
          <c:dPt>
            <c:idx val="16"/>
            <c:bubble3D val="0"/>
            <c:extLst>
              <c:ext xmlns:c16="http://schemas.microsoft.com/office/drawing/2014/chart" uri="{C3380CC4-5D6E-409C-BE32-E72D297353CC}">
                <c16:uniqueId val="{00000010-5666-4514-867D-1EEDAB95126F}"/>
              </c:ext>
            </c:extLst>
          </c:dPt>
          <c:dPt>
            <c:idx val="17"/>
            <c:bubble3D val="0"/>
            <c:extLst>
              <c:ext xmlns:c16="http://schemas.microsoft.com/office/drawing/2014/chart" uri="{C3380CC4-5D6E-409C-BE32-E72D297353CC}">
                <c16:uniqueId val="{00000011-5666-4514-867D-1EEDAB95126F}"/>
              </c:ext>
            </c:extLst>
          </c:dPt>
          <c:dPt>
            <c:idx val="18"/>
            <c:bubble3D val="0"/>
            <c:extLst>
              <c:ext xmlns:c16="http://schemas.microsoft.com/office/drawing/2014/chart" uri="{C3380CC4-5D6E-409C-BE32-E72D297353CC}">
                <c16:uniqueId val="{00000012-5666-4514-867D-1EEDAB95126F}"/>
              </c:ext>
            </c:extLst>
          </c:dPt>
          <c:dPt>
            <c:idx val="19"/>
            <c:bubble3D val="0"/>
            <c:extLst>
              <c:ext xmlns:c16="http://schemas.microsoft.com/office/drawing/2014/chart" uri="{C3380CC4-5D6E-409C-BE32-E72D297353CC}">
                <c16:uniqueId val="{00000013-5666-4514-867D-1EEDAB95126F}"/>
              </c:ext>
            </c:extLst>
          </c:dPt>
          <c:dPt>
            <c:idx val="20"/>
            <c:bubble3D val="0"/>
            <c:extLst>
              <c:ext xmlns:c16="http://schemas.microsoft.com/office/drawing/2014/chart" uri="{C3380CC4-5D6E-409C-BE32-E72D297353CC}">
                <c16:uniqueId val="{00000014-5666-4514-867D-1EEDAB95126F}"/>
              </c:ext>
            </c:extLst>
          </c:dPt>
          <c:dPt>
            <c:idx val="21"/>
            <c:bubble3D val="0"/>
            <c:extLst>
              <c:ext xmlns:c16="http://schemas.microsoft.com/office/drawing/2014/chart" uri="{C3380CC4-5D6E-409C-BE32-E72D297353CC}">
                <c16:uniqueId val="{00000015-5666-4514-867D-1EEDAB95126F}"/>
              </c:ext>
            </c:extLst>
          </c:dPt>
          <c:dPt>
            <c:idx val="22"/>
            <c:bubble3D val="0"/>
            <c:extLst>
              <c:ext xmlns:c16="http://schemas.microsoft.com/office/drawing/2014/chart" uri="{C3380CC4-5D6E-409C-BE32-E72D297353CC}">
                <c16:uniqueId val="{00000016-5666-4514-867D-1EEDAB95126F}"/>
              </c:ext>
            </c:extLst>
          </c:dPt>
          <c:dPt>
            <c:idx val="23"/>
            <c:bubble3D val="0"/>
            <c:extLst>
              <c:ext xmlns:c16="http://schemas.microsoft.com/office/drawing/2014/chart" uri="{C3380CC4-5D6E-409C-BE32-E72D297353CC}">
                <c16:uniqueId val="{00000017-5666-4514-867D-1EEDAB95126F}"/>
              </c:ext>
            </c:extLst>
          </c:dPt>
          <c:dPt>
            <c:idx val="24"/>
            <c:bubble3D val="0"/>
            <c:extLst>
              <c:ext xmlns:c16="http://schemas.microsoft.com/office/drawing/2014/chart" uri="{C3380CC4-5D6E-409C-BE32-E72D297353CC}">
                <c16:uniqueId val="{00000018-5666-4514-867D-1EEDAB95126F}"/>
              </c:ext>
            </c:extLst>
          </c:dPt>
          <c:dPt>
            <c:idx val="25"/>
            <c:bubble3D val="0"/>
            <c:extLst>
              <c:ext xmlns:c16="http://schemas.microsoft.com/office/drawing/2014/chart" uri="{C3380CC4-5D6E-409C-BE32-E72D297353CC}">
                <c16:uniqueId val="{00000019-5666-4514-867D-1EEDAB95126F}"/>
              </c:ext>
            </c:extLst>
          </c:dPt>
          <c:dPt>
            <c:idx val="26"/>
            <c:bubble3D val="0"/>
            <c:extLst>
              <c:ext xmlns:c16="http://schemas.microsoft.com/office/drawing/2014/chart" uri="{C3380CC4-5D6E-409C-BE32-E72D297353CC}">
                <c16:uniqueId val="{0000001A-5666-4514-867D-1EEDAB95126F}"/>
              </c:ext>
            </c:extLst>
          </c:dPt>
          <c:dPt>
            <c:idx val="27"/>
            <c:bubble3D val="0"/>
            <c:extLst>
              <c:ext xmlns:c16="http://schemas.microsoft.com/office/drawing/2014/chart" uri="{C3380CC4-5D6E-409C-BE32-E72D297353CC}">
                <c16:uniqueId val="{0000001B-5666-4514-867D-1EEDAB95126F}"/>
              </c:ext>
            </c:extLst>
          </c:dPt>
          <c:dPt>
            <c:idx val="28"/>
            <c:bubble3D val="0"/>
            <c:extLst>
              <c:ext xmlns:c16="http://schemas.microsoft.com/office/drawing/2014/chart" uri="{C3380CC4-5D6E-409C-BE32-E72D297353CC}">
                <c16:uniqueId val="{0000001C-5666-4514-867D-1EEDAB95126F}"/>
              </c:ext>
            </c:extLst>
          </c:dPt>
          <c:dPt>
            <c:idx val="29"/>
            <c:bubble3D val="0"/>
            <c:extLst>
              <c:ext xmlns:c16="http://schemas.microsoft.com/office/drawing/2014/chart" uri="{C3380CC4-5D6E-409C-BE32-E72D297353CC}">
                <c16:uniqueId val="{0000001D-5666-4514-867D-1EEDAB95126F}"/>
              </c:ext>
            </c:extLst>
          </c:dPt>
          <c:dPt>
            <c:idx val="30"/>
            <c:bubble3D val="0"/>
            <c:extLst>
              <c:ext xmlns:c16="http://schemas.microsoft.com/office/drawing/2014/chart" uri="{C3380CC4-5D6E-409C-BE32-E72D297353CC}">
                <c16:uniqueId val="{0000001E-5666-4514-867D-1EEDAB95126F}"/>
              </c:ext>
            </c:extLst>
          </c:dPt>
          <c:dPt>
            <c:idx val="31"/>
            <c:bubble3D val="0"/>
            <c:extLst>
              <c:ext xmlns:c16="http://schemas.microsoft.com/office/drawing/2014/chart" uri="{C3380CC4-5D6E-409C-BE32-E72D297353CC}">
                <c16:uniqueId val="{0000001F-5666-4514-867D-1EEDAB95126F}"/>
              </c:ext>
            </c:extLst>
          </c:dPt>
          <c:dPt>
            <c:idx val="32"/>
            <c:bubble3D val="0"/>
            <c:extLst>
              <c:ext xmlns:c16="http://schemas.microsoft.com/office/drawing/2014/chart" uri="{C3380CC4-5D6E-409C-BE32-E72D297353CC}">
                <c16:uniqueId val="{00000020-5666-4514-867D-1EEDAB95126F}"/>
              </c:ext>
            </c:extLst>
          </c:dPt>
          <c:dPt>
            <c:idx val="33"/>
            <c:bubble3D val="0"/>
            <c:extLst>
              <c:ext xmlns:c16="http://schemas.microsoft.com/office/drawing/2014/chart" uri="{C3380CC4-5D6E-409C-BE32-E72D297353CC}">
                <c16:uniqueId val="{00000021-5666-4514-867D-1EEDAB95126F}"/>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DEBT_TERM!$I$13:$I$46</c:f>
              <c:strCache>
                <c:ptCount val="34"/>
                <c:pt idx="0">
                  <c:v>            ОВДП (10 - річні); 9,188%; 7,38р.</c:v>
                </c:pt>
                <c:pt idx="1">
                  <c:v>            ОВДП (11 - річні); 11,252%; 11р.</c:v>
                </c:pt>
                <c:pt idx="2">
                  <c:v>            ОВДП (12 - місячні); 3,24%; 0,89р.</c:v>
                </c:pt>
                <c:pt idx="3">
                  <c:v>            ОВДП (12 - річні); 10,085%; 12,04р.</c:v>
                </c:pt>
                <c:pt idx="4">
                  <c:v>            ОВДП (13 - річні); 8,524%; 13,15р.</c:v>
                </c:pt>
                <c:pt idx="5">
                  <c:v>            ОВДП (14 - річні); 7,438%; 14,04р.</c:v>
                </c:pt>
                <c:pt idx="6">
                  <c:v>            ОВДП (15 - річні); 10,049%; 14,69р.</c:v>
                </c:pt>
                <c:pt idx="7">
                  <c:v>            ОВДП (16 - річні); 8,575%; 15,85р.</c:v>
                </c:pt>
                <c:pt idx="8">
                  <c:v>            ОВДП (17 - річні); 11,401%; 16,9р.</c:v>
                </c:pt>
                <c:pt idx="9">
                  <c:v>            ОВДП (18 - місячні); 9,575%; 1,15р.</c:v>
                </c:pt>
                <c:pt idx="10">
                  <c:v>            ОВДП (18 - річні); 8,17%; 17,85р.</c:v>
                </c:pt>
                <c:pt idx="11">
                  <c:v>            ОВДП (19 - річні); 10,8%; 18,85р.</c:v>
                </c:pt>
                <c:pt idx="12">
                  <c:v>            ОВДП (2 - річні); 17,736%; 1,76р.</c:v>
                </c:pt>
                <c:pt idx="13">
                  <c:v>            ОВДП (20 - річні); 10,8%; 19,85р.</c:v>
                </c:pt>
                <c:pt idx="14">
                  <c:v>            ОВДП (21 - річні); 10,8%; 20,85р.</c:v>
                </c:pt>
                <c:pt idx="15">
                  <c:v>            ОВДП (22 - річні); 10,8%; 21,85р.</c:v>
                </c:pt>
                <c:pt idx="16">
                  <c:v>            ОВДП (23 - річні); 10,8%; 22,85р.</c:v>
                </c:pt>
                <c:pt idx="17">
                  <c:v>            ОВДП (24 - річні); 10,8%; 23,85р.</c:v>
                </c:pt>
                <c:pt idx="18">
                  <c:v>            ОВДП (25 - річні); 10,8%; 24,85р.</c:v>
                </c:pt>
                <c:pt idx="19">
                  <c:v>            ОВДП (26 - річні); 10,8%; 25,85р.</c:v>
                </c:pt>
                <c:pt idx="20">
                  <c:v>            ОВДП (27 - річні); 10,8%; 26,85р.</c:v>
                </c:pt>
                <c:pt idx="21">
                  <c:v>            ОВДП (28 - річні); 10,8%; 27,85р.</c:v>
                </c:pt>
                <c:pt idx="22">
                  <c:v>            ОВДП (29 - річні); 10,8%; 28,85р.</c:v>
                </c:pt>
                <c:pt idx="23">
                  <c:v>            ОВДП (3 - місячні); 0%; 0р.</c:v>
                </c:pt>
                <c:pt idx="24">
                  <c:v>            ОВДП (3 - річні); 17,632%; 2,58р.</c:v>
                </c:pt>
                <c:pt idx="25">
                  <c:v>            ОВДП (30 - річні); 13,706%; 18,71р.</c:v>
                </c:pt>
                <c:pt idx="26">
                  <c:v>            ОВДП (4 - річні); 16,661%; 3,03р.</c:v>
                </c:pt>
                <c:pt idx="27">
                  <c:v>            ОВДП (5 - річні); 17,426%; 3,4р.</c:v>
                </c:pt>
                <c:pt idx="28">
                  <c:v>            ОВДП (6 - місячні); 0%; 0р.</c:v>
                </c:pt>
                <c:pt idx="29">
                  <c:v>            ОВДП (6 - річні); 15,84%; 5,39р.</c:v>
                </c:pt>
                <c:pt idx="30">
                  <c:v>            ОВДП (7 - річні); 10,002%; 5,32р.</c:v>
                </c:pt>
                <c:pt idx="31">
                  <c:v>            ОВДП (8 - річні); 11,29%; 8,17р.</c:v>
                </c:pt>
                <c:pt idx="32">
                  <c:v>            ОВДП (9 - місячні); 0%; 0р.</c:v>
                </c:pt>
                <c:pt idx="33">
                  <c:v>            ОВДП (9 - річні); 10,57%; 9,29р.</c:v>
                </c:pt>
              </c:strCache>
            </c:strRef>
          </c:cat>
          <c:val>
            <c:numRef>
              <c:f>DEBT_TERM!$J$13:$J$46</c:f>
              <c:numCache>
                <c:formatCode>#,##0.00</c:formatCode>
                <c:ptCount val="34"/>
                <c:pt idx="0">
                  <c:v>58630439</c:v>
                </c:pt>
                <c:pt idx="1">
                  <c:v>17533000</c:v>
                </c:pt>
                <c:pt idx="2">
                  <c:v>3797711.45</c:v>
                </c:pt>
                <c:pt idx="3">
                  <c:v>50000000</c:v>
                </c:pt>
                <c:pt idx="4">
                  <c:v>33700001</c:v>
                </c:pt>
                <c:pt idx="5">
                  <c:v>46900000</c:v>
                </c:pt>
                <c:pt idx="6">
                  <c:v>225503117</c:v>
                </c:pt>
                <c:pt idx="7">
                  <c:v>12097744</c:v>
                </c:pt>
                <c:pt idx="8">
                  <c:v>27097744</c:v>
                </c:pt>
                <c:pt idx="9">
                  <c:v>284414505.55000001</c:v>
                </c:pt>
                <c:pt idx="10">
                  <c:v>12097744</c:v>
                </c:pt>
                <c:pt idx="11">
                  <c:v>12097744</c:v>
                </c:pt>
                <c:pt idx="12">
                  <c:v>285632238</c:v>
                </c:pt>
                <c:pt idx="13">
                  <c:v>12097744</c:v>
                </c:pt>
                <c:pt idx="14">
                  <c:v>12097744</c:v>
                </c:pt>
                <c:pt idx="15">
                  <c:v>12097744</c:v>
                </c:pt>
                <c:pt idx="16">
                  <c:v>12097744</c:v>
                </c:pt>
                <c:pt idx="17">
                  <c:v>12097744</c:v>
                </c:pt>
                <c:pt idx="18">
                  <c:v>12097744</c:v>
                </c:pt>
                <c:pt idx="19">
                  <c:v>12097744</c:v>
                </c:pt>
                <c:pt idx="20">
                  <c:v>12097744</c:v>
                </c:pt>
                <c:pt idx="21">
                  <c:v>12097744</c:v>
                </c:pt>
                <c:pt idx="22">
                  <c:v>12097744</c:v>
                </c:pt>
                <c:pt idx="23">
                  <c:v>0</c:v>
                </c:pt>
                <c:pt idx="24">
                  <c:v>284557994</c:v>
                </c:pt>
                <c:pt idx="25">
                  <c:v>257097751</c:v>
                </c:pt>
                <c:pt idx="26">
                  <c:v>16191801</c:v>
                </c:pt>
                <c:pt idx="27">
                  <c:v>46069236</c:v>
                </c:pt>
                <c:pt idx="28">
                  <c:v>0</c:v>
                </c:pt>
                <c:pt idx="29">
                  <c:v>41080407</c:v>
                </c:pt>
                <c:pt idx="30">
                  <c:v>17781691</c:v>
                </c:pt>
                <c:pt idx="31">
                  <c:v>2500000</c:v>
                </c:pt>
                <c:pt idx="32">
                  <c:v>0</c:v>
                </c:pt>
                <c:pt idx="33">
                  <c:v>5500000</c:v>
                </c:pt>
              </c:numCache>
            </c:numRef>
          </c:val>
          <c:extLst>
            <c:ext xmlns:c16="http://schemas.microsoft.com/office/drawing/2014/chart" uri="{C3380CC4-5D6E-409C-BE32-E72D297353CC}">
              <c16:uniqueId val="{00000022-5666-4514-867D-1EEDAB95126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[0]!DEBT_STATE</c:f>
          <c:strCache>
            <c:ptCount val="1"/>
            <c:pt idx="0">
              <c:v>Державний та гарантований державою борг України</c:v>
            </c:pt>
          </c:strCache>
        </c:strRef>
      </c:tx>
      <c:layout>
        <c:manualLayout>
          <c:xMode val="edge"/>
          <c:yMode val="edge"/>
          <c:x val="0.30403286074086283"/>
          <c:y val="0.11306271501452468"/>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81178903826267"/>
          <c:y val="0.3135593220338983"/>
          <c:w val="0.70837642192347461"/>
          <c:h val="0.4610169491525423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5036-42AC-8E4C-140674F18CBA}"/>
              </c:ext>
            </c:extLst>
          </c:dPt>
          <c:dPt>
            <c:idx val="1"/>
            <c:bubble3D val="0"/>
            <c:extLst>
              <c:ext xmlns:c16="http://schemas.microsoft.com/office/drawing/2014/chart" uri="{C3380CC4-5D6E-409C-BE32-E72D297353CC}">
                <c16:uniqueId val="{00000001-5036-42AC-8E4C-140674F18CBA}"/>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MK_ALL!$A$19:$A$20</c:f>
              <c:strCache>
                <c:ptCount val="2"/>
                <c:pt idx="0">
                  <c:v>Державний борг</c:v>
                </c:pt>
                <c:pt idx="1">
                  <c:v>Гарантований державою борг</c:v>
                </c:pt>
              </c:strCache>
            </c:strRef>
          </c:cat>
          <c:val>
            <c:numRef>
              <c:f>MK_ALL!$N$19:$N$20</c:f>
              <c:numCache>
                <c:formatCode>0.00%</c:formatCode>
                <c:ptCount val="2"/>
                <c:pt idx="0">
                  <c:v>0.95867199999999997</c:v>
                </c:pt>
                <c:pt idx="1">
                  <c:v>4.1327999999999997E-2</c:v>
                </c:pt>
              </c:numCache>
            </c:numRef>
          </c:val>
          <c:extLst>
            <c:ext xmlns:c16="http://schemas.microsoft.com/office/drawing/2014/chart" uri="{C3380CC4-5D6E-409C-BE32-E72D297353CC}">
              <c16:uniqueId val="{00000002-5036-42AC-8E4C-140674F18CB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31.12.2024</c:v>
            </c:pt>
          </c:strCache>
        </c:strRef>
      </c:tx>
      <c:layout>
        <c:manualLayout>
          <c:xMode val="edge"/>
          <c:yMode val="edge"/>
          <c:x val="0.30341530319374554"/>
          <c:y val="0.17105837586884554"/>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66115702479338"/>
          <c:y val="0.31302876480541453"/>
          <c:w val="0.70867768595041325"/>
          <c:h val="0.4619289340101522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5C9-4130-97A0-86A85B4BDA0E}"/>
              </c:ext>
            </c:extLst>
          </c:dPt>
          <c:dPt>
            <c:idx val="1"/>
            <c:bubble3D val="0"/>
            <c:extLst>
              <c:ext xmlns:c16="http://schemas.microsoft.com/office/drawing/2014/chart" uri="{C3380CC4-5D6E-409C-BE32-E72D297353CC}">
                <c16:uniqueId val="{00000001-E5C9-4130-97A0-86A85B4BDA0E}"/>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MT_ALL!$A$19:$A$20</c:f>
              <c:strCache>
                <c:ptCount val="2"/>
                <c:pt idx="0">
                  <c:v>Внутрішній борг</c:v>
                </c:pt>
                <c:pt idx="1">
                  <c:v>Зовнішній борг</c:v>
                </c:pt>
              </c:strCache>
            </c:strRef>
          </c:cat>
          <c:val>
            <c:numRef>
              <c:f>MT_ALL!$N$19:$N$20</c:f>
              <c:numCache>
                <c:formatCode>0.00%</c:formatCode>
                <c:ptCount val="2"/>
                <c:pt idx="0">
                  <c:v>0.27682400000000001</c:v>
                </c:pt>
                <c:pt idx="1">
                  <c:v>0.72317600000000004</c:v>
                </c:pt>
              </c:numCache>
            </c:numRef>
          </c:val>
          <c:extLst>
            <c:ext xmlns:c16="http://schemas.microsoft.com/office/drawing/2014/chart" uri="{C3380CC4-5D6E-409C-BE32-E72D297353CC}">
              <c16:uniqueId val="{00000002-E5C9-4130-97A0-86A85B4BDA0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MT_ALL!$A$4</c:f>
          <c:strCache>
            <c:ptCount val="1"/>
            <c:pt idx="0">
              <c:v>Державний та гарантований державою борг України за поточний рік (млрд. грн)</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6.6115702479338845E-2"/>
          <c:y val="0.10490693739424704"/>
          <c:w val="0.93078512396694213"/>
          <c:h val="0.79187817258883253"/>
        </c:manualLayout>
      </c:layout>
      <c:bar3DChart>
        <c:barDir val="col"/>
        <c:grouping val="stacked"/>
        <c:varyColors val="0"/>
        <c:ser>
          <c:idx val="0"/>
          <c:order val="0"/>
          <c:tx>
            <c:strRef>
              <c:f>MT_ALL!$A$7</c:f>
              <c:strCache>
                <c:ptCount val="1"/>
                <c:pt idx="0">
                  <c:v>Внутрішній борг</c:v>
                </c:pt>
              </c:strCache>
            </c:strRef>
          </c:tx>
          <c:spPr>
            <a:solidFill>
              <a:srgbClr val="9999FF"/>
            </a:solidFill>
            <a:ln w="12700">
              <a:solidFill>
                <a:srgbClr val="000000"/>
              </a:solidFill>
              <a:prstDash val="solid"/>
            </a:ln>
          </c:spPr>
          <c:invertIfNegative val="0"/>
          <c:cat>
            <c:numRef>
              <c:f>MT_ALL!$B$5:$N$5</c:f>
              <c:numCache>
                <c:formatCode>dd\.mm\.yyyy;@</c:formatCode>
                <c:ptCount val="13"/>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numCache>
            </c:numRef>
          </c:cat>
          <c:val>
            <c:numRef>
              <c:f>MT_ALL!$B$7:$N$7</c:f>
              <c:numCache>
                <c:formatCode>#,##0.00</c:formatCode>
                <c:ptCount val="13"/>
                <c:pt idx="0">
                  <c:v>1656.49630379928</c:v>
                </c:pt>
                <c:pt idx="1">
                  <c:v>1670.3974646002</c:v>
                </c:pt>
                <c:pt idx="2">
                  <c:v>1665.38393269278</c:v>
                </c:pt>
                <c:pt idx="3">
                  <c:v>1684.7276228201199</c:v>
                </c:pt>
                <c:pt idx="4">
                  <c:v>1711.6649011664399</c:v>
                </c:pt>
                <c:pt idx="5">
                  <c:v>1705.1476223949201</c:v>
                </c:pt>
                <c:pt idx="6">
                  <c:v>1711.59490621538</c:v>
                </c:pt>
                <c:pt idx="7">
                  <c:v>1740.7725892068099</c:v>
                </c:pt>
                <c:pt idx="8">
                  <c:v>1750.4719266997499</c:v>
                </c:pt>
                <c:pt idx="9">
                  <c:v>1796.2060528819</c:v>
                </c:pt>
                <c:pt idx="10">
                  <c:v>1829.0799631345301</c:v>
                </c:pt>
                <c:pt idx="11">
                  <c:v>1874.5598052938401</c:v>
                </c:pt>
                <c:pt idx="12">
                  <c:v>1932.48958136344</c:v>
                </c:pt>
              </c:numCache>
            </c:numRef>
          </c:val>
          <c:extLst>
            <c:ext xmlns:c16="http://schemas.microsoft.com/office/drawing/2014/chart" uri="{C3380CC4-5D6E-409C-BE32-E72D297353CC}">
              <c16:uniqueId val="{00000000-BC5B-4277-A9D0-62CBE40492EE}"/>
            </c:ext>
          </c:extLst>
        </c:ser>
        <c:ser>
          <c:idx val="1"/>
          <c:order val="1"/>
          <c:tx>
            <c:strRef>
              <c:f>MT_ALL!$A$8</c:f>
              <c:strCache>
                <c:ptCount val="1"/>
                <c:pt idx="0">
                  <c:v>Зовнішній борг</c:v>
                </c:pt>
              </c:strCache>
            </c:strRef>
          </c:tx>
          <c:spPr>
            <a:solidFill>
              <a:srgbClr val="993366"/>
            </a:solidFill>
            <a:ln w="12700">
              <a:solidFill>
                <a:srgbClr val="000000"/>
              </a:solidFill>
              <a:prstDash val="solid"/>
            </a:ln>
          </c:spPr>
          <c:invertIfNegative val="0"/>
          <c:cat>
            <c:numRef>
              <c:f>MT_ALL!$B$5:$N$5</c:f>
              <c:numCache>
                <c:formatCode>dd\.mm\.yyyy;@</c:formatCode>
                <c:ptCount val="13"/>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numCache>
            </c:numRef>
          </c:cat>
          <c:val>
            <c:numRef>
              <c:f>MT_ALL!$B$8:$N$8</c:f>
              <c:numCache>
                <c:formatCode>#,##0.00</c:formatCode>
                <c:ptCount val="13"/>
                <c:pt idx="0">
                  <c:v>3863.13915481087</c:v>
                </c:pt>
                <c:pt idx="1">
                  <c:v>3817.6463238563201</c:v>
                </c:pt>
                <c:pt idx="2">
                  <c:v>3824.6881928147</c:v>
                </c:pt>
                <c:pt idx="3">
                  <c:v>4239.6564092665903</c:v>
                </c:pt>
                <c:pt idx="4">
                  <c:v>4299.0509042563299</c:v>
                </c:pt>
                <c:pt idx="5">
                  <c:v>4410.2506052992003</c:v>
                </c:pt>
                <c:pt idx="6">
                  <c:v>4456.4652547854403</c:v>
                </c:pt>
                <c:pt idx="7">
                  <c:v>4633.2119929079699</c:v>
                </c:pt>
                <c:pt idx="8">
                  <c:v>4622.3217071665704</c:v>
                </c:pt>
                <c:pt idx="9">
                  <c:v>4614.1371592595597</c:v>
                </c:pt>
                <c:pt idx="10">
                  <c:v>4585.5749234185696</c:v>
                </c:pt>
                <c:pt idx="11">
                  <c:v>4771.2244907696204</c:v>
                </c:pt>
                <c:pt idx="12">
                  <c:v>5048.4444334219497</c:v>
                </c:pt>
              </c:numCache>
            </c:numRef>
          </c:val>
          <c:extLst>
            <c:ext xmlns:c16="http://schemas.microsoft.com/office/drawing/2014/chart" uri="{C3380CC4-5D6E-409C-BE32-E72D297353CC}">
              <c16:uniqueId val="{00000001-BC5B-4277-A9D0-62CBE40492EE}"/>
            </c:ext>
          </c:extLst>
        </c:ser>
        <c:dLbls>
          <c:showLegendKey val="0"/>
          <c:showVal val="0"/>
          <c:showCatName val="0"/>
          <c:showSerName val="0"/>
          <c:showPercent val="0"/>
          <c:showBubbleSize val="0"/>
        </c:dLbls>
        <c:gapWidth val="150"/>
        <c:shape val="box"/>
        <c:axId val="151901631"/>
        <c:axId val="1"/>
        <c:axId val="0"/>
      </c:bar3DChart>
      <c:catAx>
        <c:axId val="151901631"/>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51901631"/>
        <c:crosses val="autoZero"/>
        <c:crossBetween val="between"/>
      </c:valAx>
      <c:spPr>
        <a:noFill/>
        <a:ln w="25400">
          <a:noFill/>
        </a:ln>
      </c:spPr>
    </c:plotArea>
    <c:legend>
      <c:legendPos val="r"/>
      <c:layout>
        <c:manualLayout>
          <c:xMode val="edge"/>
          <c:yMode val="edge"/>
          <c:x val="0.78"/>
          <c:y val="0.09"/>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MT_ALL!$A$10</c:f>
          <c:strCache>
            <c:ptCount val="1"/>
            <c:pt idx="0">
              <c:v>Державний та гарантований державою борг України за поточний рік (млрд. дол. США)</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7.3347107438016534E-2"/>
          <c:y val="0.10490693739424704"/>
          <c:w val="0.92665289256198347"/>
          <c:h val="0.78680203045685282"/>
        </c:manualLayout>
      </c:layout>
      <c:bar3DChart>
        <c:barDir val="col"/>
        <c:grouping val="stacked"/>
        <c:varyColors val="0"/>
        <c:ser>
          <c:idx val="1"/>
          <c:order val="0"/>
          <c:tx>
            <c:strRef>
              <c:f>MT_ALL!$A$13</c:f>
              <c:strCache>
                <c:ptCount val="1"/>
                <c:pt idx="0">
                  <c:v>Внутрішній борг</c:v>
                </c:pt>
              </c:strCache>
            </c:strRef>
          </c:tx>
          <c:spPr>
            <a:solidFill>
              <a:srgbClr val="9999FF"/>
            </a:solidFill>
            <a:ln w="12700">
              <a:solidFill>
                <a:srgbClr val="000000"/>
              </a:solidFill>
              <a:prstDash val="solid"/>
            </a:ln>
          </c:spPr>
          <c:invertIfNegative val="0"/>
          <c:cat>
            <c:numRef>
              <c:f>MT_ALL!$B$11:$N$11</c:f>
              <c:numCache>
                <c:formatCode>dd\.mm\.yyyy;@</c:formatCode>
                <c:ptCount val="13"/>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numCache>
            </c:numRef>
          </c:cat>
          <c:val>
            <c:numRef>
              <c:f>MT_ALL!$B$13:$N$13</c:f>
              <c:numCache>
                <c:formatCode>#,##0.00</c:formatCode>
                <c:ptCount val="13"/>
                <c:pt idx="0">
                  <c:v>43.612207332799997</c:v>
                </c:pt>
                <c:pt idx="1">
                  <c:v>44.103369133839998</c:v>
                </c:pt>
                <c:pt idx="2">
                  <c:v>43.58765203606</c:v>
                </c:pt>
                <c:pt idx="3">
                  <c:v>42.954295940889999</c:v>
                </c:pt>
                <c:pt idx="4">
                  <c:v>43.148895382909998</c:v>
                </c:pt>
                <c:pt idx="5">
                  <c:v>42.10230647321</c:v>
                </c:pt>
                <c:pt idx="6">
                  <c:v>42.222611865109997</c:v>
                </c:pt>
                <c:pt idx="7">
                  <c:v>42.427754671830002</c:v>
                </c:pt>
                <c:pt idx="8">
                  <c:v>42.497394439499999</c:v>
                </c:pt>
                <c:pt idx="9">
                  <c:v>43.632818339099998</c:v>
                </c:pt>
                <c:pt idx="10">
                  <c:v>44.310181039870002</c:v>
                </c:pt>
                <c:pt idx="11">
                  <c:v>45.066300409039997</c:v>
                </c:pt>
                <c:pt idx="12">
                  <c:v>45.968971226080001</c:v>
                </c:pt>
              </c:numCache>
            </c:numRef>
          </c:val>
          <c:extLst>
            <c:ext xmlns:c16="http://schemas.microsoft.com/office/drawing/2014/chart" uri="{C3380CC4-5D6E-409C-BE32-E72D297353CC}">
              <c16:uniqueId val="{00000000-95D1-4E77-BA13-017AE4EE9271}"/>
            </c:ext>
          </c:extLst>
        </c:ser>
        <c:ser>
          <c:idx val="2"/>
          <c:order val="1"/>
          <c:tx>
            <c:strRef>
              <c:f>MT_ALL!$A$14</c:f>
              <c:strCache>
                <c:ptCount val="1"/>
                <c:pt idx="0">
                  <c:v>Зовнішній борг</c:v>
                </c:pt>
              </c:strCache>
            </c:strRef>
          </c:tx>
          <c:spPr>
            <a:solidFill>
              <a:srgbClr val="993366"/>
            </a:solidFill>
            <a:ln w="12700">
              <a:solidFill>
                <a:srgbClr val="000000"/>
              </a:solidFill>
              <a:prstDash val="solid"/>
            </a:ln>
          </c:spPr>
          <c:invertIfNegative val="0"/>
          <c:cat>
            <c:numRef>
              <c:f>MT_ALL!$B$11:$N$11</c:f>
              <c:numCache>
                <c:formatCode>dd\.mm\.yyyy;@</c:formatCode>
                <c:ptCount val="13"/>
                <c:pt idx="0">
                  <c:v>45291</c:v>
                </c:pt>
                <c:pt idx="1">
                  <c:v>45322</c:v>
                </c:pt>
                <c:pt idx="2">
                  <c:v>45351</c:v>
                </c:pt>
                <c:pt idx="3">
                  <c:v>45382</c:v>
                </c:pt>
                <c:pt idx="4">
                  <c:v>45412</c:v>
                </c:pt>
                <c:pt idx="5">
                  <c:v>45443</c:v>
                </c:pt>
                <c:pt idx="6">
                  <c:v>45473</c:v>
                </c:pt>
                <c:pt idx="7">
                  <c:v>45504</c:v>
                </c:pt>
                <c:pt idx="8">
                  <c:v>45535</c:v>
                </c:pt>
                <c:pt idx="9">
                  <c:v>45565</c:v>
                </c:pt>
                <c:pt idx="10">
                  <c:v>45596</c:v>
                </c:pt>
                <c:pt idx="11">
                  <c:v>45626</c:v>
                </c:pt>
                <c:pt idx="12">
                  <c:v>45657</c:v>
                </c:pt>
              </c:numCache>
            </c:numRef>
          </c:cat>
          <c:val>
            <c:numRef>
              <c:f>MT_ALL!$B$14:$N$14</c:f>
              <c:numCache>
                <c:formatCode>#,##0.00</c:formatCode>
                <c:ptCount val="13"/>
                <c:pt idx="0">
                  <c:v>101.70866387616</c:v>
                </c:pt>
                <c:pt idx="1">
                  <c:v>100.79700706685</c:v>
                </c:pt>
                <c:pt idx="2">
                  <c:v>100.10254982156</c:v>
                </c:pt>
                <c:pt idx="3">
                  <c:v>108.09548892356</c:v>
                </c:pt>
                <c:pt idx="4">
                  <c:v>108.37360606462001</c:v>
                </c:pt>
                <c:pt idx="5">
                  <c:v>108.89480779796</c:v>
                </c:pt>
                <c:pt idx="6">
                  <c:v>109.93465922301</c:v>
                </c:pt>
                <c:pt idx="7">
                  <c:v>112.92502133632</c:v>
                </c:pt>
                <c:pt idx="8">
                  <c:v>112.21923974868</c:v>
                </c:pt>
                <c:pt idx="9">
                  <c:v>112.08502952067001</c:v>
                </c:pt>
                <c:pt idx="10">
                  <c:v>111.08735491214</c:v>
                </c:pt>
                <c:pt idx="11">
                  <c:v>114.70502867539</c:v>
                </c:pt>
                <c:pt idx="12">
                  <c:v>120.08954621704</c:v>
                </c:pt>
              </c:numCache>
            </c:numRef>
          </c:val>
          <c:extLst>
            <c:ext xmlns:c16="http://schemas.microsoft.com/office/drawing/2014/chart" uri="{C3380CC4-5D6E-409C-BE32-E72D297353CC}">
              <c16:uniqueId val="{00000001-95D1-4E77-BA13-017AE4EE9271}"/>
            </c:ext>
          </c:extLst>
        </c:ser>
        <c:dLbls>
          <c:showLegendKey val="0"/>
          <c:showVal val="0"/>
          <c:showCatName val="0"/>
          <c:showSerName val="0"/>
          <c:showPercent val="0"/>
          <c:showBubbleSize val="0"/>
        </c:dLbls>
        <c:gapWidth val="150"/>
        <c:shape val="box"/>
        <c:axId val="151899135"/>
        <c:axId val="1"/>
        <c:axId val="0"/>
      </c:bar3DChart>
      <c:catAx>
        <c:axId val="151899135"/>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25"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yr"/>
                <a:ea typeface="Arial Cyr"/>
                <a:cs typeface="Arial Cyr"/>
              </a:defRPr>
            </a:pPr>
            <a:endParaRPr lang="uk-UA"/>
          </a:p>
        </c:txPr>
        <c:crossAx val="151899135"/>
        <c:crosses val="autoZero"/>
        <c:crossBetween val="between"/>
      </c:valAx>
      <c:spPr>
        <a:noFill/>
        <a:ln w="25400">
          <a:noFill/>
        </a:ln>
      </c:spPr>
    </c:plotArea>
    <c:legend>
      <c:legendPos val="r"/>
      <c:layout>
        <c:manualLayout>
          <c:xMode val="edge"/>
          <c:yMode val="edge"/>
          <c:x val="0.79"/>
          <c:y val="0.02"/>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SRATE_M!$A$2</c:f>
          <c:strCache>
            <c:ptCount val="1"/>
            <c:pt idx="0">
              <c:v>Державний та гарантований державою борг України
станом на 31.12.2024
(за видами відсоткових ставок)</c:v>
            </c:pt>
          </c:strCache>
        </c:strRef>
      </c:tx>
      <c:layout>
        <c:manualLayout>
          <c:xMode val="edge"/>
          <c:yMode val="edge"/>
          <c:x val="0.21177692440084334"/>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723140495867769"/>
          <c:y val="0.38747884940778343"/>
          <c:w val="0.47933884297520662"/>
          <c:h val="0.31302876480541453"/>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723E-47A4-AD18-DEFC0B8A8413}"/>
              </c:ext>
            </c:extLst>
          </c:dPt>
          <c:dPt>
            <c:idx val="1"/>
            <c:bubble3D val="0"/>
            <c:extLst>
              <c:ext xmlns:c16="http://schemas.microsoft.com/office/drawing/2014/chart" uri="{C3380CC4-5D6E-409C-BE32-E72D297353CC}">
                <c16:uniqueId val="{00000001-723E-47A4-AD18-DEFC0B8A8413}"/>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SRATE!$A$8:$A$9</c:f>
              <c:strCache>
                <c:ptCount val="2"/>
                <c:pt idx="0">
                  <c:v>Борг, по якому сплата відсотків здійснюється за плаваючими процентними ставками</c:v>
                </c:pt>
                <c:pt idx="1">
                  <c:v>Борг, по якому сплата відсотків здійснюється за фіксованими процентними ставками</c:v>
                </c:pt>
              </c:strCache>
            </c:strRef>
          </c:cat>
          <c:val>
            <c:numRef>
              <c:f>SRATE!$B$8:$B$9</c:f>
              <c:numCache>
                <c:formatCode>#,##0.00</c:formatCode>
                <c:ptCount val="2"/>
                <c:pt idx="0">
                  <c:v>58.096926138320001</c:v>
                </c:pt>
                <c:pt idx="1">
                  <c:v>107.9615913048</c:v>
                </c:pt>
              </c:numCache>
            </c:numRef>
          </c:val>
          <c:extLst>
            <c:ext xmlns:c16="http://schemas.microsoft.com/office/drawing/2014/chart" uri="{C3380CC4-5D6E-409C-BE32-E72D297353CC}">
              <c16:uniqueId val="{00000002-723E-47A4-AD18-DEFC0B8A841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RATE!$A$2</c:f>
          <c:strCache>
            <c:ptCount val="1"/>
            <c:pt idx="0">
              <c:v>Державний та гарантований державою борг України
станом на 31.12.2024</c:v>
            </c:pt>
          </c:strCache>
        </c:strRef>
      </c:tx>
      <c:layout>
        <c:manualLayout>
          <c:xMode val="edge"/>
          <c:yMode val="edge"/>
          <c:x val="0.14049589088249215"/>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41624365482233505"/>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1E81-447D-93DE-C1CDC14BD360}"/>
              </c:ext>
            </c:extLst>
          </c:dPt>
          <c:dPt>
            <c:idx val="1"/>
            <c:bubble3D val="0"/>
            <c:extLst>
              <c:ext xmlns:c16="http://schemas.microsoft.com/office/drawing/2014/chart" uri="{C3380CC4-5D6E-409C-BE32-E72D297353CC}">
                <c16:uniqueId val="{00000001-1E81-447D-93DE-C1CDC14BD360}"/>
              </c:ext>
            </c:extLst>
          </c:dPt>
          <c:dPt>
            <c:idx val="2"/>
            <c:bubble3D val="0"/>
            <c:extLst>
              <c:ext xmlns:c16="http://schemas.microsoft.com/office/drawing/2014/chart" uri="{C3380CC4-5D6E-409C-BE32-E72D297353CC}">
                <c16:uniqueId val="{00000002-1E81-447D-93DE-C1CDC14BD360}"/>
              </c:ext>
            </c:extLst>
          </c:dPt>
          <c:dPt>
            <c:idx val="3"/>
            <c:bubble3D val="0"/>
            <c:extLst>
              <c:ext xmlns:c16="http://schemas.microsoft.com/office/drawing/2014/chart" uri="{C3380CC4-5D6E-409C-BE32-E72D297353CC}">
                <c16:uniqueId val="{00000003-1E81-447D-93DE-C1CDC14BD360}"/>
              </c:ext>
            </c:extLst>
          </c:dPt>
          <c:dPt>
            <c:idx val="4"/>
            <c:bubble3D val="0"/>
            <c:extLst>
              <c:ext xmlns:c16="http://schemas.microsoft.com/office/drawing/2014/chart" uri="{C3380CC4-5D6E-409C-BE32-E72D297353CC}">
                <c16:uniqueId val="{00000004-1E81-447D-93DE-C1CDC14BD360}"/>
              </c:ext>
            </c:extLst>
          </c:dPt>
          <c:dPt>
            <c:idx val="5"/>
            <c:bubble3D val="0"/>
            <c:extLst>
              <c:ext xmlns:c16="http://schemas.microsoft.com/office/drawing/2014/chart" uri="{C3380CC4-5D6E-409C-BE32-E72D297353CC}">
                <c16:uniqueId val="{00000005-1E81-447D-93DE-C1CDC14BD360}"/>
              </c:ext>
            </c:extLst>
          </c:dPt>
          <c:dPt>
            <c:idx val="6"/>
            <c:bubble3D val="0"/>
            <c:extLst>
              <c:ext xmlns:c16="http://schemas.microsoft.com/office/drawing/2014/chart" uri="{C3380CC4-5D6E-409C-BE32-E72D297353CC}">
                <c16:uniqueId val="{00000006-1E81-447D-93DE-C1CDC14BD360}"/>
              </c:ext>
            </c:extLst>
          </c:dPt>
          <c:dPt>
            <c:idx val="7"/>
            <c:bubble3D val="0"/>
            <c:extLst>
              <c:ext xmlns:c16="http://schemas.microsoft.com/office/drawing/2014/chart" uri="{C3380CC4-5D6E-409C-BE32-E72D297353CC}">
                <c16:uniqueId val="{00000007-1E81-447D-93DE-C1CDC14BD360}"/>
              </c:ext>
            </c:extLst>
          </c:dPt>
          <c:dPt>
            <c:idx val="8"/>
            <c:bubble3D val="0"/>
            <c:extLst>
              <c:ext xmlns:c16="http://schemas.microsoft.com/office/drawing/2014/chart" uri="{C3380CC4-5D6E-409C-BE32-E72D297353CC}">
                <c16:uniqueId val="{00000008-1E81-447D-93DE-C1CDC14BD360}"/>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RATE!$A$8:$A$16</c:f>
              <c:strCache>
                <c:ptCount val="9"/>
                <c:pt idx="0">
                  <c:v>EURIBOR</c:v>
                </c:pt>
                <c:pt idx="1">
                  <c:v>SOFR</c:v>
                </c:pt>
                <c:pt idx="2">
                  <c:v>SONIA</c:v>
                </c:pt>
                <c:pt idx="3">
                  <c:v>TORF</c:v>
                </c:pt>
                <c:pt idx="4">
                  <c:v>Індекс споживчих цін (СРІ)</c:v>
                </c:pt>
                <c:pt idx="5">
                  <c:v>Облікова ставка НБУ</c:v>
                </c:pt>
                <c:pt idx="6">
                  <c:v>Ставка МВФ</c:v>
                </c:pt>
                <c:pt idx="7">
                  <c:v>Український індекс ставок за депозитами фізичних осіб</c:v>
                </c:pt>
                <c:pt idx="8">
                  <c:v>Фіксована</c:v>
                </c:pt>
              </c:strCache>
            </c:strRef>
          </c:cat>
          <c:val>
            <c:numRef>
              <c:f>RATE!$B$8:$B$16</c:f>
              <c:numCache>
                <c:formatCode>#,##0.00</c:formatCode>
                <c:ptCount val="9"/>
                <c:pt idx="0">
                  <c:v>6.3168314976</c:v>
                </c:pt>
                <c:pt idx="1">
                  <c:v>21.028241161610001</c:v>
                </c:pt>
                <c:pt idx="2">
                  <c:v>0.16700042806000001</c:v>
                </c:pt>
                <c:pt idx="3">
                  <c:v>0.84658439538999997</c:v>
                </c:pt>
                <c:pt idx="4">
                  <c:v>3.4532918243499999</c:v>
                </c:pt>
                <c:pt idx="5">
                  <c:v>6.92263601288</c:v>
                </c:pt>
                <c:pt idx="6">
                  <c:v>18.916013072719998</c:v>
                </c:pt>
                <c:pt idx="7">
                  <c:v>0.44632774571</c:v>
                </c:pt>
                <c:pt idx="8">
                  <c:v>107.9615913048</c:v>
                </c:pt>
              </c:numCache>
            </c:numRef>
          </c:val>
          <c:extLst>
            <c:ext xmlns:c16="http://schemas.microsoft.com/office/drawing/2014/chart" uri="{C3380CC4-5D6E-409C-BE32-E72D297353CC}">
              <c16:uniqueId val="{00000009-1E81-447D-93DE-C1CDC14BD360}"/>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31.12.2024</c:v>
            </c:pt>
          </c:strCache>
        </c:strRef>
      </c:tx>
      <c:layout>
        <c:manualLayout>
          <c:xMode val="edge"/>
          <c:yMode val="edge"/>
          <c:x val="0.29615342380807813"/>
          <c:y val="0.17733978290402141"/>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38747884940778343"/>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EAA6-456A-B710-3DDF79AC4DC1}"/>
              </c:ext>
            </c:extLst>
          </c:dPt>
          <c:dPt>
            <c:idx val="1"/>
            <c:bubble3D val="0"/>
            <c:extLst>
              <c:ext xmlns:c16="http://schemas.microsoft.com/office/drawing/2014/chart" uri="{C3380CC4-5D6E-409C-BE32-E72D297353CC}">
                <c16:uniqueId val="{00000001-EAA6-456A-B710-3DDF79AC4DC1}"/>
              </c:ext>
            </c:extLst>
          </c:dPt>
          <c:dPt>
            <c:idx val="2"/>
            <c:bubble3D val="0"/>
            <c:extLst>
              <c:ext xmlns:c16="http://schemas.microsoft.com/office/drawing/2014/chart" uri="{C3380CC4-5D6E-409C-BE32-E72D297353CC}">
                <c16:uniqueId val="{00000002-EAA6-456A-B710-3DDF79AC4DC1}"/>
              </c:ext>
            </c:extLst>
          </c:dPt>
          <c:dPt>
            <c:idx val="3"/>
            <c:bubble3D val="0"/>
            <c:extLst>
              <c:ext xmlns:c16="http://schemas.microsoft.com/office/drawing/2014/chart" uri="{C3380CC4-5D6E-409C-BE32-E72D297353CC}">
                <c16:uniqueId val="{00000003-EAA6-456A-B710-3DDF79AC4DC1}"/>
              </c:ext>
            </c:extLst>
          </c:dPt>
          <c:dPt>
            <c:idx val="4"/>
            <c:bubble3D val="0"/>
            <c:extLst>
              <c:ext xmlns:c16="http://schemas.microsoft.com/office/drawing/2014/chart" uri="{C3380CC4-5D6E-409C-BE32-E72D297353CC}">
                <c16:uniqueId val="{00000004-EAA6-456A-B710-3DDF79AC4DC1}"/>
              </c:ext>
            </c:extLst>
          </c:dPt>
          <c:dPt>
            <c:idx val="5"/>
            <c:bubble3D val="0"/>
            <c:extLst>
              <c:ext xmlns:c16="http://schemas.microsoft.com/office/drawing/2014/chart" uri="{C3380CC4-5D6E-409C-BE32-E72D297353CC}">
                <c16:uniqueId val="{00000005-EAA6-456A-B710-3DDF79AC4DC1}"/>
              </c:ext>
            </c:extLst>
          </c:dPt>
          <c:dPt>
            <c:idx val="6"/>
            <c:bubble3D val="0"/>
            <c:extLst>
              <c:ext xmlns:c16="http://schemas.microsoft.com/office/drawing/2014/chart" uri="{C3380CC4-5D6E-409C-BE32-E72D297353CC}">
                <c16:uniqueId val="{00000006-EAA6-456A-B710-3DDF79AC4DC1}"/>
              </c:ext>
            </c:extLst>
          </c:dPt>
          <c:dPt>
            <c:idx val="7"/>
            <c:bubble3D val="0"/>
            <c:extLst>
              <c:ext xmlns:c16="http://schemas.microsoft.com/office/drawing/2014/chart" uri="{C3380CC4-5D6E-409C-BE32-E72D297353CC}">
                <c16:uniqueId val="{00000007-EAA6-456A-B710-3DDF79AC4DC1}"/>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RATE!$A$24:$A$31</c:f>
              <c:strCache>
                <c:ptCount val="8"/>
                <c:pt idx="0">
                  <c:v>EURIBOR</c:v>
                </c:pt>
                <c:pt idx="1">
                  <c:v>SOFR</c:v>
                </c:pt>
                <c:pt idx="2">
                  <c:v>SONIA</c:v>
                </c:pt>
                <c:pt idx="3">
                  <c:v>TORF</c:v>
                </c:pt>
                <c:pt idx="4">
                  <c:v>Індекс споживчих цін (СРІ)</c:v>
                </c:pt>
                <c:pt idx="5">
                  <c:v>Облікова ставка НБУ</c:v>
                </c:pt>
                <c:pt idx="6">
                  <c:v>Ставка МВФ</c:v>
                </c:pt>
                <c:pt idx="7">
                  <c:v>Фіксована</c:v>
                </c:pt>
              </c:strCache>
            </c:strRef>
          </c:cat>
          <c:val>
            <c:numRef>
              <c:f>RATE!$B$24:$B$31</c:f>
              <c:numCache>
                <c:formatCode>#\ ##0.00;\-#\ ##0.00;</c:formatCode>
                <c:ptCount val="8"/>
                <c:pt idx="0" formatCode="#,##0.00">
                  <c:v>5.0463515835699999</c:v>
                </c:pt>
                <c:pt idx="1">
                  <c:v>19.689682203099999</c:v>
                </c:pt>
                <c:pt idx="2" formatCode="#,##0.00">
                  <c:v>0.16700042806000001</c:v>
                </c:pt>
                <c:pt idx="3" formatCode="#,##0.00">
                  <c:v>0.84658439538999997</c:v>
                </c:pt>
                <c:pt idx="4" formatCode="#,##0.00">
                  <c:v>3.4532918243499999</c:v>
                </c:pt>
                <c:pt idx="5" formatCode="#,##0.00">
                  <c:v>6.6604819334499998</c:v>
                </c:pt>
                <c:pt idx="6" formatCode="#,##0.00">
                  <c:v>17.665421749109999</c:v>
                </c:pt>
                <c:pt idx="7" formatCode="#,##0.00">
                  <c:v>105.66676392895999</c:v>
                </c:pt>
              </c:numCache>
            </c:numRef>
          </c:val>
          <c:extLst>
            <c:ext xmlns:c16="http://schemas.microsoft.com/office/drawing/2014/chart" uri="{C3380CC4-5D6E-409C-BE32-E72D297353CC}">
              <c16:uniqueId val="{00000008-EAA6-456A-B710-3DDF79AC4DC1}"/>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codeName="Диаграмма12"/>
  <sheetViews>
    <sheetView workbookViewId="0"/>
  </sheetViews>
  <pageMargins left="0.75" right="0.75" top="1" bottom="1" header="0.5" footer="0.5"/>
  <headerFooter alignWithMargins="0"/>
  <drawing r:id="rId1"/>
</chartsheet>
</file>

<file path=xl/chartsheets/sheet10.xml><?xml version="1.0" encoding="utf-8"?>
<chartsheet xmlns="http://schemas.openxmlformats.org/spreadsheetml/2006/main" xmlns:r="http://schemas.openxmlformats.org/officeDocument/2006/relationships">
  <sheetPr codeName="Диаграмма1">
    <tabColor indexed="47"/>
  </sheetPr>
  <sheetViews>
    <sheetView zoomScale="12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sheetPr codeName="Диаграмма18">
    <tabColor indexed="47"/>
  </sheetPr>
  <sheetViews>
    <sheetView zoomScale="12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sheetPr codeName="Диаграмма4">
    <tabColor indexed="46"/>
  </sheetPr>
  <sheetViews>
    <sheetView zoomScale="12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sheetPr codeName="Диаграмма22">
    <tabColor indexed="46"/>
  </sheetPr>
  <sheetViews>
    <sheetView zoomScale="12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sheetPr codeName="Диаграмма23">
    <tabColor indexed="46"/>
  </sheetPr>
  <sheetViews>
    <sheetView zoomScale="12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sheetPr codeName="Диаграмма14">
    <tabColor indexed="22"/>
  </sheetPr>
  <sheetViews>
    <sheetView zoomScale="12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sheetPr codeName="Диаграмма17">
    <tabColor indexed="22"/>
  </sheetPr>
  <sheetViews>
    <sheetView zoomScale="12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sheetPr codeName="Диаграмма15">
    <tabColor indexed="22"/>
  </sheetPr>
  <sheetViews>
    <sheetView zoomScale="12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sheetPr codeName="Диаграмма19">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19.xml><?xml version="1.0" encoding="utf-8"?>
<chartsheet xmlns="http://schemas.openxmlformats.org/spreadsheetml/2006/main" xmlns:r="http://schemas.openxmlformats.org/officeDocument/2006/relationships">
  <sheetPr codeName="Диаграмма20">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Диаграмма11"/>
  <sheetViews>
    <sheetView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sheetPr codeName="Диаграмма25">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21.xml><?xml version="1.0" encoding="utf-8"?>
<chartsheet xmlns="http://schemas.openxmlformats.org/spreadsheetml/2006/main" xmlns:r="http://schemas.openxmlformats.org/officeDocument/2006/relationships">
  <sheetPr codeName="Диаграмма24">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2.xml><?xml version="1.0" encoding="utf-8"?>
<chartsheet xmlns="http://schemas.openxmlformats.org/spreadsheetml/2006/main" xmlns:r="http://schemas.openxmlformats.org/officeDocument/2006/relationships">
  <sheetPr codeName="Диаграмма21">
    <tabColor indexed="53"/>
  </sheetPr>
  <sheetViews>
    <sheetView zoomScale="12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sheetPr codeName="Диаграмма3"/>
  <sheetViews>
    <sheetView zoomScale="120" workbookViewId="0"/>
  </sheetViews>
  <pageMargins left="0.75" right="0.75" top="1" bottom="1" header="0.5" footer="0.5"/>
  <pageSetup paperSize="9" orientation="landscape" r:id="rId1"/>
  <headerFooter alignWithMargins="0"/>
  <drawing r:id="rId2"/>
</chartsheet>
</file>

<file path=xl/chartsheets/sheet24.xml><?xml version="1.0" encoding="utf-8"?>
<chartsheet xmlns="http://schemas.openxmlformats.org/spreadsheetml/2006/main" xmlns:r="http://schemas.openxmlformats.org/officeDocument/2006/relationships">
  <sheetPr codeName="Диаграмма8">
    <tabColor indexed="48"/>
  </sheetPr>
  <sheetViews>
    <sheetView zoomScale="12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sheetPr codeName="Диаграмма16">
    <tabColor indexed="48"/>
  </sheetPr>
  <sheetViews>
    <sheetView zoomScale="12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Диаграмма5"/>
  <sheetViews>
    <sheetView zoomScale="92"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Диаграмма6"/>
  <sheetViews>
    <sheetView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codeName="Диаграмма10">
    <tabColor indexed="11"/>
  </sheetPr>
  <sheetViews>
    <sheetView zoomScale="12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codeName="Диаграмма9">
    <tabColor indexed="11"/>
  </sheetPr>
  <sheetViews>
    <sheetView zoomScale="12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sheetPr codeName="Диаграмма7">
    <tabColor indexed="40"/>
  </sheetPr>
  <sheetViews>
    <sheetView zoomScale="120" workbookViewId="0"/>
  </sheetViews>
  <pageMargins left="0.75" right="0.75" top="1" bottom="1" header="0.5" footer="0.5"/>
  <headerFooter alignWithMargins="0"/>
  <drawing r:id="rId1"/>
</chartsheet>
</file>

<file path=xl/chartsheets/sheet8.xml><?xml version="1.0" encoding="utf-8"?>
<chartsheet xmlns="http://schemas.openxmlformats.org/spreadsheetml/2006/main" xmlns:r="http://schemas.openxmlformats.org/officeDocument/2006/relationships">
  <sheetPr codeName="Диаграмма2">
    <tabColor indexed="40"/>
  </sheetPr>
  <sheetViews>
    <sheetView zoomScale="12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sheetPr codeName="Диаграмма13">
    <tabColor indexed="40"/>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57"/>
    <outlinePr applyStyles="1" summaryBelow="0"/>
    <pageSetUpPr fitToPage="1"/>
  </sheetPr>
  <dimension ref="A1:S180"/>
  <sheetViews>
    <sheetView workbookViewId="0">
      <selection activeCell="A6" sqref="A6"/>
    </sheetView>
  </sheetViews>
  <sheetFormatPr defaultColWidth="9.1796875" defaultRowHeight="10.5" outlineLevelRow="4" x14ac:dyDescent="0.25"/>
  <cols>
    <col min="1" max="1" width="52" style="7" customWidth="1"/>
    <col min="2" max="14" width="16.26953125" style="8" customWidth="1"/>
    <col min="15" max="15" width="9.1796875" style="7" customWidth="1"/>
    <col min="16" max="16384" width="9.1796875" style="7"/>
  </cols>
  <sheetData>
    <row r="1" spans="1:19" s="21" customFormat="1" ht="13" x14ac:dyDescent="0.3">
      <c r="B1" s="22"/>
      <c r="C1" s="22"/>
      <c r="D1" s="22"/>
      <c r="E1" s="22"/>
      <c r="F1" s="22"/>
      <c r="G1" s="22"/>
      <c r="H1" s="22"/>
      <c r="I1" s="22"/>
      <c r="J1" s="22"/>
      <c r="K1" s="22"/>
      <c r="L1" s="22"/>
      <c r="M1" s="22"/>
      <c r="N1" s="22"/>
    </row>
    <row r="2" spans="1:19" s="29" customFormat="1" ht="18.5" x14ac:dyDescent="0.45">
      <c r="A2" s="278" t="str">
        <f>DEBT_AS_OF_CURR_YEAR</f>
        <v>Державний та гарантований державою борг України за поточний рік</v>
      </c>
      <c r="B2" s="278"/>
      <c r="C2" s="278"/>
      <c r="D2" s="278"/>
      <c r="E2" s="278"/>
      <c r="F2" s="278"/>
      <c r="G2" s="278"/>
      <c r="H2" s="278"/>
      <c r="I2" s="278"/>
      <c r="J2" s="278"/>
      <c r="K2" s="278"/>
      <c r="L2" s="278"/>
      <c r="M2" s="278"/>
      <c r="N2" s="278"/>
      <c r="O2" s="28"/>
      <c r="P2" s="28"/>
      <c r="Q2" s="28"/>
      <c r="R2" s="28"/>
      <c r="S2" s="28"/>
    </row>
    <row r="3" spans="1:19" s="21" customFormat="1" ht="13" x14ac:dyDescent="0.3">
      <c r="B3" s="24"/>
      <c r="C3" s="24"/>
      <c r="D3" s="24"/>
      <c r="E3" s="24"/>
      <c r="F3" s="24"/>
      <c r="G3" s="24"/>
      <c r="H3" s="24"/>
      <c r="I3" s="24"/>
      <c r="J3" s="24"/>
      <c r="K3" s="24"/>
      <c r="L3" s="24"/>
      <c r="M3" s="24"/>
      <c r="N3" s="24"/>
      <c r="O3" s="25"/>
      <c r="P3" s="25"/>
      <c r="Q3" s="25"/>
    </row>
    <row r="4" spans="1:19" s="26" customFormat="1" ht="13" x14ac:dyDescent="0.3">
      <c r="B4" s="27"/>
      <c r="C4" s="27"/>
      <c r="D4" s="27"/>
      <c r="E4" s="27"/>
      <c r="F4" s="27"/>
      <c r="G4" s="27"/>
      <c r="H4" s="27"/>
      <c r="I4" s="27"/>
      <c r="J4" s="27"/>
      <c r="K4" s="27"/>
      <c r="L4" s="27"/>
      <c r="M4" s="27"/>
      <c r="N4" s="27" t="str">
        <f>VALUAH</f>
        <v>млрд. грн</v>
      </c>
    </row>
    <row r="5" spans="1:19" s="13" customFormat="1" ht="13" x14ac:dyDescent="0.25">
      <c r="A5" s="11"/>
      <c r="B5" s="12">
        <v>45291</v>
      </c>
      <c r="C5" s="12">
        <v>45322</v>
      </c>
      <c r="D5" s="12">
        <v>45351</v>
      </c>
      <c r="E5" s="12">
        <v>45382</v>
      </c>
      <c r="F5" s="12">
        <v>45412</v>
      </c>
      <c r="G5" s="12">
        <v>45443</v>
      </c>
      <c r="H5" s="12">
        <v>45473</v>
      </c>
      <c r="I5" s="12">
        <v>45504</v>
      </c>
      <c r="J5" s="12">
        <v>45535</v>
      </c>
      <c r="K5" s="12">
        <v>45565</v>
      </c>
      <c r="L5" s="12">
        <v>45596</v>
      </c>
      <c r="M5" s="12">
        <v>45626</v>
      </c>
      <c r="N5" s="12">
        <v>45657</v>
      </c>
    </row>
    <row r="6" spans="1:19" s="14" customFormat="1" ht="31" x14ac:dyDescent="0.25">
      <c r="A6" s="140" t="str">
        <f>DEBT_TOTAL</f>
        <v>Загальна сума державного та гарантованого державою боргу</v>
      </c>
      <c r="B6" s="20">
        <f t="shared" ref="B6:N6" si="0">B$7+B$60</f>
        <v>5519.6354586101506</v>
      </c>
      <c r="C6" s="20">
        <f t="shared" si="0"/>
        <v>5488.0437884565208</v>
      </c>
      <c r="D6" s="20">
        <f t="shared" si="0"/>
        <v>5490.0721255074795</v>
      </c>
      <c r="E6" s="20">
        <f t="shared" si="0"/>
        <v>5924.3840320867093</v>
      </c>
      <c r="F6" s="20">
        <f t="shared" si="0"/>
        <v>6010.7158054227693</v>
      </c>
      <c r="G6" s="20">
        <f t="shared" si="0"/>
        <v>6115.3982276941188</v>
      </c>
      <c r="H6" s="20">
        <f t="shared" si="0"/>
        <v>6168.0601610008198</v>
      </c>
      <c r="I6" s="20">
        <f t="shared" si="0"/>
        <v>6373.9845821147792</v>
      </c>
      <c r="J6" s="20">
        <f t="shared" si="0"/>
        <v>6372.7936338663194</v>
      </c>
      <c r="K6" s="20">
        <f t="shared" si="0"/>
        <v>6410.3432121414589</v>
      </c>
      <c r="L6" s="20">
        <f t="shared" si="0"/>
        <v>6414.6548865530995</v>
      </c>
      <c r="M6" s="20">
        <f t="shared" si="0"/>
        <v>6645.7842960634589</v>
      </c>
      <c r="N6" s="20">
        <f t="shared" si="0"/>
        <v>6980.9340147853909</v>
      </c>
    </row>
    <row r="7" spans="1:19" s="126" customFormat="1" ht="14.5" outlineLevel="1" x14ac:dyDescent="0.25">
      <c r="A7" s="167" t="s">
        <v>57</v>
      </c>
      <c r="B7" s="168">
        <f t="shared" ref="B7:N7" si="1">B$8+B$44</f>
        <v>1656.4963037992804</v>
      </c>
      <c r="C7" s="168">
        <f t="shared" si="1"/>
        <v>1670.3974646002002</v>
      </c>
      <c r="D7" s="168">
        <f t="shared" si="1"/>
        <v>1665.38393269278</v>
      </c>
      <c r="E7" s="168">
        <f t="shared" si="1"/>
        <v>1684.7276228201199</v>
      </c>
      <c r="F7" s="168">
        <f t="shared" si="1"/>
        <v>1711.6649011664399</v>
      </c>
      <c r="G7" s="168">
        <f t="shared" si="1"/>
        <v>1705.1476223949198</v>
      </c>
      <c r="H7" s="168">
        <f t="shared" si="1"/>
        <v>1711.5949062153795</v>
      </c>
      <c r="I7" s="168">
        <f t="shared" si="1"/>
        <v>1740.772589206809</v>
      </c>
      <c r="J7" s="168">
        <f t="shared" si="1"/>
        <v>1750.4719266997492</v>
      </c>
      <c r="K7" s="168">
        <f t="shared" si="1"/>
        <v>1796.2060528818993</v>
      </c>
      <c r="L7" s="168">
        <f t="shared" si="1"/>
        <v>1829.079963134529</v>
      </c>
      <c r="M7" s="168">
        <f t="shared" si="1"/>
        <v>1874.559805293839</v>
      </c>
      <c r="N7" s="168">
        <f t="shared" si="1"/>
        <v>1932.4895813634391</v>
      </c>
    </row>
    <row r="8" spans="1:19" s="16" customFormat="1" ht="14.5" outlineLevel="2" x14ac:dyDescent="0.25">
      <c r="A8" s="169" t="s">
        <v>1</v>
      </c>
      <c r="B8" s="170">
        <f t="shared" ref="B8:N8" si="2">B$9+B$42</f>
        <v>1587.6975846597604</v>
      </c>
      <c r="C8" s="170">
        <f t="shared" si="2"/>
        <v>1602.6442239495602</v>
      </c>
      <c r="D8" s="170">
        <f t="shared" si="2"/>
        <v>1598.39206778476</v>
      </c>
      <c r="E8" s="170">
        <f t="shared" si="2"/>
        <v>1617.7963423828598</v>
      </c>
      <c r="F8" s="170">
        <f t="shared" si="2"/>
        <v>1643.4805234000398</v>
      </c>
      <c r="G8" s="170">
        <f t="shared" si="2"/>
        <v>1636.3022215191397</v>
      </c>
      <c r="H8" s="170">
        <f t="shared" si="2"/>
        <v>1642.5815651403395</v>
      </c>
      <c r="I8" s="170">
        <f t="shared" si="2"/>
        <v>1671.2709845805191</v>
      </c>
      <c r="J8" s="170">
        <f t="shared" si="2"/>
        <v>1680.4406755469192</v>
      </c>
      <c r="K8" s="170">
        <f t="shared" si="2"/>
        <v>1729.0022003853992</v>
      </c>
      <c r="L8" s="170">
        <f t="shared" si="2"/>
        <v>1762.9680718493989</v>
      </c>
      <c r="M8" s="170">
        <f t="shared" si="2"/>
        <v>1807.987828227599</v>
      </c>
      <c r="N8" s="170">
        <f t="shared" si="2"/>
        <v>1863.132117454179</v>
      </c>
    </row>
    <row r="9" spans="1:19" s="17" customFormat="1" ht="13" outlineLevel="3" x14ac:dyDescent="0.25">
      <c r="A9" s="171" t="s">
        <v>58</v>
      </c>
      <c r="B9" s="172">
        <f t="shared" ref="B9:N9" si="3">SUM(B$10:B$41)</f>
        <v>1586.1105543895005</v>
      </c>
      <c r="C9" s="172">
        <f t="shared" si="3"/>
        <v>1601.0571936793003</v>
      </c>
      <c r="D9" s="172">
        <f t="shared" si="3"/>
        <v>1596.8050375145001</v>
      </c>
      <c r="E9" s="172">
        <f t="shared" si="3"/>
        <v>1616.2093121125999</v>
      </c>
      <c r="F9" s="172">
        <f t="shared" si="3"/>
        <v>1641.9265562603998</v>
      </c>
      <c r="G9" s="172">
        <f t="shared" si="3"/>
        <v>1634.7482543794997</v>
      </c>
      <c r="H9" s="172">
        <f t="shared" si="3"/>
        <v>1641.0275980006995</v>
      </c>
      <c r="I9" s="172">
        <f t="shared" si="3"/>
        <v>1669.7500805714992</v>
      </c>
      <c r="J9" s="172">
        <f t="shared" si="3"/>
        <v>1678.9197715378994</v>
      </c>
      <c r="K9" s="172">
        <f t="shared" si="3"/>
        <v>1727.5143595069992</v>
      </c>
      <c r="L9" s="172">
        <f t="shared" si="3"/>
        <v>1761.4802309709989</v>
      </c>
      <c r="M9" s="172">
        <f t="shared" si="3"/>
        <v>1806.499987349199</v>
      </c>
      <c r="N9" s="172">
        <f t="shared" si="3"/>
        <v>1861.6773397063989</v>
      </c>
    </row>
    <row r="10" spans="1:19" s="19" customFormat="1" ht="13" outlineLevel="4" x14ac:dyDescent="0.25">
      <c r="A10" s="173" t="s">
        <v>59</v>
      </c>
      <c r="B10" s="165">
        <v>75.401431000000002</v>
      </c>
      <c r="C10" s="165">
        <v>75.401431000000002</v>
      </c>
      <c r="D10" s="165">
        <v>75.401431000000002</v>
      </c>
      <c r="E10" s="165">
        <v>73.401431000000002</v>
      </c>
      <c r="F10" s="165">
        <v>70.901431000000002</v>
      </c>
      <c r="G10" s="165">
        <v>70.901431000000002</v>
      </c>
      <c r="H10" s="165">
        <v>70.901431000000002</v>
      </c>
      <c r="I10" s="165">
        <v>70.901431000000002</v>
      </c>
      <c r="J10" s="165">
        <v>70.901431000000002</v>
      </c>
      <c r="K10" s="165">
        <v>69.661430999999993</v>
      </c>
      <c r="L10" s="165">
        <v>53.630439000000003</v>
      </c>
      <c r="M10" s="165">
        <v>53.630439000000003</v>
      </c>
      <c r="N10" s="165">
        <v>58.630439000000003</v>
      </c>
    </row>
    <row r="11" spans="1:19" ht="13" outlineLevel="4" x14ac:dyDescent="0.3">
      <c r="A11" s="174" t="s">
        <v>60</v>
      </c>
      <c r="B11" s="175">
        <v>17.533000000000001</v>
      </c>
      <c r="C11" s="175">
        <v>17.533000000000001</v>
      </c>
      <c r="D11" s="175">
        <v>17.533000000000001</v>
      </c>
      <c r="E11" s="175">
        <v>17.533000000000001</v>
      </c>
      <c r="F11" s="175">
        <v>17.533000000000001</v>
      </c>
      <c r="G11" s="175">
        <v>17.533000000000001</v>
      </c>
      <c r="H11" s="175">
        <v>17.533000000000001</v>
      </c>
      <c r="I11" s="175">
        <v>17.533000000000001</v>
      </c>
      <c r="J11" s="175">
        <v>17.533000000000001</v>
      </c>
      <c r="K11" s="175">
        <v>17.533000000000001</v>
      </c>
      <c r="L11" s="175">
        <v>17.533000000000001</v>
      </c>
      <c r="M11" s="175">
        <v>17.533000000000001</v>
      </c>
      <c r="N11" s="175">
        <v>17.533000000000001</v>
      </c>
      <c r="O11" s="10"/>
      <c r="P11" s="10"/>
      <c r="Q11" s="10"/>
    </row>
    <row r="12" spans="1:19" ht="13" outlineLevel="4" x14ac:dyDescent="0.3">
      <c r="A12" s="174" t="s">
        <v>61</v>
      </c>
      <c r="B12" s="175">
        <v>124.26256048570001</v>
      </c>
      <c r="C12" s="175">
        <v>125.7688936253</v>
      </c>
      <c r="D12" s="175">
        <v>126.4881585361</v>
      </c>
      <c r="E12" s="175">
        <v>118.54101703960001</v>
      </c>
      <c r="F12" s="175">
        <v>119.3335019732</v>
      </c>
      <c r="G12" s="175">
        <v>86.814149702500004</v>
      </c>
      <c r="H12" s="175">
        <v>74.041408310199998</v>
      </c>
      <c r="I12" s="175">
        <v>74.787155294599998</v>
      </c>
      <c r="J12" s="175">
        <v>75.103642996999994</v>
      </c>
      <c r="K12" s="175">
        <v>61.130374466900001</v>
      </c>
      <c r="L12" s="175">
        <v>32.233164715000001</v>
      </c>
      <c r="M12" s="175">
        <v>3.8076684433999999</v>
      </c>
      <c r="N12" s="175">
        <v>3.8132242193999999</v>
      </c>
      <c r="O12" s="10"/>
      <c r="P12" s="10"/>
      <c r="Q12" s="10"/>
    </row>
    <row r="13" spans="1:19" ht="13" outlineLevel="4" x14ac:dyDescent="0.3">
      <c r="A13" s="174" t="s">
        <v>62</v>
      </c>
      <c r="B13" s="175">
        <v>50</v>
      </c>
      <c r="C13" s="175">
        <v>50</v>
      </c>
      <c r="D13" s="175">
        <v>50</v>
      </c>
      <c r="E13" s="175">
        <v>50</v>
      </c>
      <c r="F13" s="175">
        <v>50</v>
      </c>
      <c r="G13" s="175">
        <v>50</v>
      </c>
      <c r="H13" s="175">
        <v>50</v>
      </c>
      <c r="I13" s="175">
        <v>50</v>
      </c>
      <c r="J13" s="175">
        <v>50</v>
      </c>
      <c r="K13" s="175">
        <v>50</v>
      </c>
      <c r="L13" s="175">
        <v>50</v>
      </c>
      <c r="M13" s="175">
        <v>50</v>
      </c>
      <c r="N13" s="175">
        <v>50</v>
      </c>
      <c r="O13" s="10"/>
      <c r="P13" s="10"/>
      <c r="Q13" s="10"/>
    </row>
    <row r="14" spans="1:19" ht="13" outlineLevel="4" x14ac:dyDescent="0.3">
      <c r="A14" s="174" t="s">
        <v>63</v>
      </c>
      <c r="B14" s="175">
        <v>33.700001</v>
      </c>
      <c r="C14" s="175">
        <v>33.700001</v>
      </c>
      <c r="D14" s="175">
        <v>33.700001</v>
      </c>
      <c r="E14" s="175">
        <v>33.700001</v>
      </c>
      <c r="F14" s="175">
        <v>33.700001</v>
      </c>
      <c r="G14" s="175">
        <v>33.700001</v>
      </c>
      <c r="H14" s="175">
        <v>33.700001</v>
      </c>
      <c r="I14" s="175">
        <v>33.700001</v>
      </c>
      <c r="J14" s="175">
        <v>33.700001</v>
      </c>
      <c r="K14" s="175">
        <v>33.700001</v>
      </c>
      <c r="L14" s="175">
        <v>33.700001</v>
      </c>
      <c r="M14" s="175">
        <v>33.700001</v>
      </c>
      <c r="N14" s="175">
        <v>33.700001</v>
      </c>
      <c r="O14" s="10"/>
      <c r="P14" s="10"/>
      <c r="Q14" s="10"/>
    </row>
    <row r="15" spans="1:19" ht="13" outlineLevel="4" x14ac:dyDescent="0.3">
      <c r="A15" s="174" t="s">
        <v>64</v>
      </c>
      <c r="B15" s="175">
        <v>46.9</v>
      </c>
      <c r="C15" s="175">
        <v>46.9</v>
      </c>
      <c r="D15" s="175">
        <v>46.9</v>
      </c>
      <c r="E15" s="175">
        <v>46.9</v>
      </c>
      <c r="F15" s="175">
        <v>46.9</v>
      </c>
      <c r="G15" s="175">
        <v>46.9</v>
      </c>
      <c r="H15" s="175">
        <v>46.9</v>
      </c>
      <c r="I15" s="175">
        <v>46.9</v>
      </c>
      <c r="J15" s="175">
        <v>46.9</v>
      </c>
      <c r="K15" s="175">
        <v>46.9</v>
      </c>
      <c r="L15" s="175">
        <v>46.9</v>
      </c>
      <c r="M15" s="175">
        <v>46.9</v>
      </c>
      <c r="N15" s="175">
        <v>46.9</v>
      </c>
      <c r="O15" s="10"/>
      <c r="P15" s="10"/>
      <c r="Q15" s="10"/>
    </row>
    <row r="16" spans="1:19" ht="13" outlineLevel="4" x14ac:dyDescent="0.3">
      <c r="A16" s="174" t="s">
        <v>65</v>
      </c>
      <c r="B16" s="175">
        <v>237.101957</v>
      </c>
      <c r="C16" s="175">
        <v>237.101957</v>
      </c>
      <c r="D16" s="175">
        <v>237.101957</v>
      </c>
      <c r="E16" s="175">
        <v>237.101957</v>
      </c>
      <c r="F16" s="175">
        <v>237.101957</v>
      </c>
      <c r="G16" s="175">
        <v>237.101957</v>
      </c>
      <c r="H16" s="175">
        <v>237.101957</v>
      </c>
      <c r="I16" s="175">
        <v>237.101957</v>
      </c>
      <c r="J16" s="175">
        <v>237.101957</v>
      </c>
      <c r="K16" s="175">
        <v>234.202247</v>
      </c>
      <c r="L16" s="175">
        <v>231.302537</v>
      </c>
      <c r="M16" s="175">
        <v>225.503117</v>
      </c>
      <c r="N16" s="175">
        <v>225.503117</v>
      </c>
      <c r="O16" s="10"/>
      <c r="P16" s="10"/>
      <c r="Q16" s="10"/>
    </row>
    <row r="17" spans="1:17" ht="13" outlineLevel="4" x14ac:dyDescent="0.3">
      <c r="A17" s="174" t="s">
        <v>66</v>
      </c>
      <c r="B17" s="175">
        <v>12.097744</v>
      </c>
      <c r="C17" s="175">
        <v>12.097744</v>
      </c>
      <c r="D17" s="175">
        <v>12.097744</v>
      </c>
      <c r="E17" s="175">
        <v>12.097744</v>
      </c>
      <c r="F17" s="175">
        <v>12.097744</v>
      </c>
      <c r="G17" s="175">
        <v>12.097744</v>
      </c>
      <c r="H17" s="175">
        <v>12.097744</v>
      </c>
      <c r="I17" s="175">
        <v>12.097744</v>
      </c>
      <c r="J17" s="175">
        <v>12.097744</v>
      </c>
      <c r="K17" s="175">
        <v>12.097744</v>
      </c>
      <c r="L17" s="175">
        <v>12.097744</v>
      </c>
      <c r="M17" s="175">
        <v>12.097744</v>
      </c>
      <c r="N17" s="175">
        <v>12.097744</v>
      </c>
      <c r="O17" s="10"/>
      <c r="P17" s="10"/>
      <c r="Q17" s="10"/>
    </row>
    <row r="18" spans="1:17" ht="13" outlineLevel="4" x14ac:dyDescent="0.3">
      <c r="A18" s="174" t="s">
        <v>67</v>
      </c>
      <c r="B18" s="175">
        <v>27.097743999999999</v>
      </c>
      <c r="C18" s="175">
        <v>27.097743999999999</v>
      </c>
      <c r="D18" s="175">
        <v>27.097743999999999</v>
      </c>
      <c r="E18" s="175">
        <v>27.097743999999999</v>
      </c>
      <c r="F18" s="175">
        <v>27.097743999999999</v>
      </c>
      <c r="G18" s="175">
        <v>27.097743999999999</v>
      </c>
      <c r="H18" s="175">
        <v>27.097743999999999</v>
      </c>
      <c r="I18" s="175">
        <v>27.097743999999999</v>
      </c>
      <c r="J18" s="175">
        <v>27.097743999999999</v>
      </c>
      <c r="K18" s="175">
        <v>27.097743999999999</v>
      </c>
      <c r="L18" s="175">
        <v>27.097743999999999</v>
      </c>
      <c r="M18" s="175">
        <v>27.097743999999999</v>
      </c>
      <c r="N18" s="175">
        <v>27.097743999999999</v>
      </c>
      <c r="O18" s="10"/>
      <c r="P18" s="10"/>
      <c r="Q18" s="10"/>
    </row>
    <row r="19" spans="1:17" ht="13" outlineLevel="4" x14ac:dyDescent="0.3">
      <c r="A19" s="174" t="s">
        <v>68</v>
      </c>
      <c r="B19" s="175">
        <v>57.311411851499997</v>
      </c>
      <c r="C19" s="175">
        <v>62.757375618099999</v>
      </c>
      <c r="D19" s="175">
        <v>92.266492978399995</v>
      </c>
      <c r="E19" s="175">
        <v>103.58555607300001</v>
      </c>
      <c r="F19" s="175">
        <v>118.8786462872</v>
      </c>
      <c r="G19" s="175">
        <v>138.75929667700001</v>
      </c>
      <c r="H19" s="175">
        <v>164.70196469050001</v>
      </c>
      <c r="I19" s="175">
        <v>193.2987472769</v>
      </c>
      <c r="J19" s="175">
        <v>177.4603875409</v>
      </c>
      <c r="K19" s="175">
        <v>201.9466250401</v>
      </c>
      <c r="L19" s="175">
        <v>260.97928525600003</v>
      </c>
      <c r="M19" s="175">
        <v>269.1374279058</v>
      </c>
      <c r="N19" s="175">
        <v>284.818024487</v>
      </c>
      <c r="O19" s="10"/>
      <c r="P19" s="10"/>
      <c r="Q19" s="10"/>
    </row>
    <row r="20" spans="1:17" ht="13" outlineLevel="4" x14ac:dyDescent="0.3">
      <c r="A20" s="174" t="s">
        <v>69</v>
      </c>
      <c r="B20" s="175">
        <v>12.097744</v>
      </c>
      <c r="C20" s="175">
        <v>12.097744</v>
      </c>
      <c r="D20" s="175">
        <v>12.097744</v>
      </c>
      <c r="E20" s="175">
        <v>12.097744</v>
      </c>
      <c r="F20" s="175">
        <v>12.097744</v>
      </c>
      <c r="G20" s="175">
        <v>12.097744</v>
      </c>
      <c r="H20" s="175">
        <v>12.097744</v>
      </c>
      <c r="I20" s="175">
        <v>12.097744</v>
      </c>
      <c r="J20" s="175">
        <v>12.097744</v>
      </c>
      <c r="K20" s="175">
        <v>12.097744</v>
      </c>
      <c r="L20" s="175">
        <v>12.097744</v>
      </c>
      <c r="M20" s="175">
        <v>12.097744</v>
      </c>
      <c r="N20" s="175">
        <v>12.097744</v>
      </c>
      <c r="O20" s="10"/>
      <c r="P20" s="10"/>
      <c r="Q20" s="10"/>
    </row>
    <row r="21" spans="1:17" ht="13" outlineLevel="4" x14ac:dyDescent="0.3">
      <c r="A21" s="174" t="s">
        <v>70</v>
      </c>
      <c r="B21" s="175">
        <v>12.097744</v>
      </c>
      <c r="C21" s="175">
        <v>12.097744</v>
      </c>
      <c r="D21" s="175">
        <v>12.097744</v>
      </c>
      <c r="E21" s="175">
        <v>12.097744</v>
      </c>
      <c r="F21" s="175">
        <v>12.097744</v>
      </c>
      <c r="G21" s="175">
        <v>12.097744</v>
      </c>
      <c r="H21" s="175">
        <v>12.097744</v>
      </c>
      <c r="I21" s="175">
        <v>12.097744</v>
      </c>
      <c r="J21" s="175">
        <v>12.097744</v>
      </c>
      <c r="K21" s="175">
        <v>12.097744</v>
      </c>
      <c r="L21" s="175">
        <v>12.097744</v>
      </c>
      <c r="M21" s="175">
        <v>12.097744</v>
      </c>
      <c r="N21" s="175">
        <v>12.097744</v>
      </c>
      <c r="O21" s="10"/>
      <c r="P21" s="10"/>
      <c r="Q21" s="10"/>
    </row>
    <row r="22" spans="1:17" ht="13" outlineLevel="4" x14ac:dyDescent="0.3">
      <c r="A22" s="174" t="s">
        <v>71</v>
      </c>
      <c r="B22" s="175">
        <v>192.71749500000001</v>
      </c>
      <c r="C22" s="175">
        <v>200.342615</v>
      </c>
      <c r="D22" s="175">
        <v>198.543251</v>
      </c>
      <c r="E22" s="175">
        <v>210.36363299999999</v>
      </c>
      <c r="F22" s="175">
        <v>213.41722100000001</v>
      </c>
      <c r="G22" s="175">
        <v>227.41722100000001</v>
      </c>
      <c r="H22" s="175">
        <v>221.12035700000001</v>
      </c>
      <c r="I22" s="175">
        <v>228.36064500000001</v>
      </c>
      <c r="J22" s="175">
        <v>231.05220800000001</v>
      </c>
      <c r="K22" s="175">
        <v>251.14103800000001</v>
      </c>
      <c r="L22" s="175">
        <v>261.14103799999998</v>
      </c>
      <c r="M22" s="175">
        <v>291.14103799999998</v>
      </c>
      <c r="N22" s="175">
        <v>285.63223799999997</v>
      </c>
      <c r="O22" s="10"/>
      <c r="P22" s="10"/>
      <c r="Q22" s="10"/>
    </row>
    <row r="23" spans="1:17" ht="13" outlineLevel="4" x14ac:dyDescent="0.3">
      <c r="A23" s="174" t="s">
        <v>72</v>
      </c>
      <c r="B23" s="175">
        <v>12.097744</v>
      </c>
      <c r="C23" s="175">
        <v>12.097744</v>
      </c>
      <c r="D23" s="175">
        <v>12.097744</v>
      </c>
      <c r="E23" s="175">
        <v>12.097744</v>
      </c>
      <c r="F23" s="175">
        <v>12.097744</v>
      </c>
      <c r="G23" s="175">
        <v>12.097744</v>
      </c>
      <c r="H23" s="175">
        <v>12.097744</v>
      </c>
      <c r="I23" s="175">
        <v>12.097744</v>
      </c>
      <c r="J23" s="175">
        <v>12.097744</v>
      </c>
      <c r="K23" s="175">
        <v>12.097744</v>
      </c>
      <c r="L23" s="175">
        <v>12.097744</v>
      </c>
      <c r="M23" s="175">
        <v>12.097744</v>
      </c>
      <c r="N23" s="175">
        <v>12.097744</v>
      </c>
      <c r="O23" s="10"/>
      <c r="P23" s="10"/>
      <c r="Q23" s="10"/>
    </row>
    <row r="24" spans="1:17" ht="13" outlineLevel="4" x14ac:dyDescent="0.3">
      <c r="A24" s="174" t="s">
        <v>73</v>
      </c>
      <c r="B24" s="175">
        <v>12.097744</v>
      </c>
      <c r="C24" s="175">
        <v>12.097744</v>
      </c>
      <c r="D24" s="175">
        <v>12.097744</v>
      </c>
      <c r="E24" s="175">
        <v>12.097744</v>
      </c>
      <c r="F24" s="175">
        <v>12.097744</v>
      </c>
      <c r="G24" s="175">
        <v>12.097744</v>
      </c>
      <c r="H24" s="175">
        <v>12.097744</v>
      </c>
      <c r="I24" s="175">
        <v>12.097744</v>
      </c>
      <c r="J24" s="175">
        <v>12.097744</v>
      </c>
      <c r="K24" s="175">
        <v>12.097744</v>
      </c>
      <c r="L24" s="175">
        <v>12.097744</v>
      </c>
      <c r="M24" s="175">
        <v>12.097744</v>
      </c>
      <c r="N24" s="175">
        <v>12.097744</v>
      </c>
      <c r="O24" s="10"/>
      <c r="P24" s="10"/>
      <c r="Q24" s="10"/>
    </row>
    <row r="25" spans="1:17" ht="13" outlineLevel="4" x14ac:dyDescent="0.3">
      <c r="A25" s="174" t="s">
        <v>74</v>
      </c>
      <c r="B25" s="175">
        <v>12.097744</v>
      </c>
      <c r="C25" s="175">
        <v>12.097744</v>
      </c>
      <c r="D25" s="175">
        <v>12.097744</v>
      </c>
      <c r="E25" s="175">
        <v>12.097744</v>
      </c>
      <c r="F25" s="175">
        <v>12.097744</v>
      </c>
      <c r="G25" s="175">
        <v>12.097744</v>
      </c>
      <c r="H25" s="175">
        <v>12.097744</v>
      </c>
      <c r="I25" s="175">
        <v>12.097744</v>
      </c>
      <c r="J25" s="175">
        <v>12.097744</v>
      </c>
      <c r="K25" s="175">
        <v>12.097744</v>
      </c>
      <c r="L25" s="175">
        <v>12.097744</v>
      </c>
      <c r="M25" s="175">
        <v>12.097744</v>
      </c>
      <c r="N25" s="175">
        <v>12.097744</v>
      </c>
      <c r="O25" s="10"/>
      <c r="P25" s="10"/>
      <c r="Q25" s="10"/>
    </row>
    <row r="26" spans="1:17" ht="13" outlineLevel="4" x14ac:dyDescent="0.3">
      <c r="A26" s="174" t="s">
        <v>75</v>
      </c>
      <c r="B26" s="175">
        <v>12.097744</v>
      </c>
      <c r="C26" s="175">
        <v>12.097744</v>
      </c>
      <c r="D26" s="175">
        <v>12.097744</v>
      </c>
      <c r="E26" s="175">
        <v>12.097744</v>
      </c>
      <c r="F26" s="175">
        <v>12.097744</v>
      </c>
      <c r="G26" s="175">
        <v>12.097744</v>
      </c>
      <c r="H26" s="175">
        <v>12.097744</v>
      </c>
      <c r="I26" s="175">
        <v>12.097744</v>
      </c>
      <c r="J26" s="175">
        <v>12.097744</v>
      </c>
      <c r="K26" s="175">
        <v>12.097744</v>
      </c>
      <c r="L26" s="175">
        <v>12.097744</v>
      </c>
      <c r="M26" s="175">
        <v>12.097744</v>
      </c>
      <c r="N26" s="175">
        <v>12.097744</v>
      </c>
      <c r="O26" s="10"/>
      <c r="P26" s="10"/>
      <c r="Q26" s="10"/>
    </row>
    <row r="27" spans="1:17" ht="13" outlineLevel="4" x14ac:dyDescent="0.3">
      <c r="A27" s="174" t="s">
        <v>76</v>
      </c>
      <c r="B27" s="175">
        <v>12.097744</v>
      </c>
      <c r="C27" s="175">
        <v>12.097744</v>
      </c>
      <c r="D27" s="175">
        <v>12.097744</v>
      </c>
      <c r="E27" s="175">
        <v>12.097744</v>
      </c>
      <c r="F27" s="175">
        <v>12.097744</v>
      </c>
      <c r="G27" s="175">
        <v>12.097744</v>
      </c>
      <c r="H27" s="175">
        <v>12.097744</v>
      </c>
      <c r="I27" s="175">
        <v>12.097744</v>
      </c>
      <c r="J27" s="175">
        <v>12.097744</v>
      </c>
      <c r="K27" s="175">
        <v>12.097744</v>
      </c>
      <c r="L27" s="175">
        <v>12.097744</v>
      </c>
      <c r="M27" s="175">
        <v>12.097744</v>
      </c>
      <c r="N27" s="175">
        <v>12.097744</v>
      </c>
      <c r="O27" s="10"/>
      <c r="P27" s="10"/>
      <c r="Q27" s="10"/>
    </row>
    <row r="28" spans="1:17" ht="13" outlineLevel="4" x14ac:dyDescent="0.3">
      <c r="A28" s="174" t="s">
        <v>77</v>
      </c>
      <c r="B28" s="175">
        <v>12.097744</v>
      </c>
      <c r="C28" s="175">
        <v>12.097744</v>
      </c>
      <c r="D28" s="175">
        <v>12.097744</v>
      </c>
      <c r="E28" s="175">
        <v>12.097744</v>
      </c>
      <c r="F28" s="175">
        <v>12.097744</v>
      </c>
      <c r="G28" s="175">
        <v>12.097744</v>
      </c>
      <c r="H28" s="175">
        <v>12.097744</v>
      </c>
      <c r="I28" s="175">
        <v>12.097744</v>
      </c>
      <c r="J28" s="175">
        <v>12.097744</v>
      </c>
      <c r="K28" s="175">
        <v>12.097744</v>
      </c>
      <c r="L28" s="175">
        <v>12.097744</v>
      </c>
      <c r="M28" s="175">
        <v>12.097744</v>
      </c>
      <c r="N28" s="175">
        <v>12.097744</v>
      </c>
      <c r="O28" s="10"/>
      <c r="P28" s="10"/>
      <c r="Q28" s="10"/>
    </row>
    <row r="29" spans="1:17" ht="13" outlineLevel="4" x14ac:dyDescent="0.3">
      <c r="A29" s="174" t="s">
        <v>78</v>
      </c>
      <c r="B29" s="175">
        <v>12.097744</v>
      </c>
      <c r="C29" s="175">
        <v>12.097744</v>
      </c>
      <c r="D29" s="175">
        <v>12.097744</v>
      </c>
      <c r="E29" s="175">
        <v>12.097744</v>
      </c>
      <c r="F29" s="175">
        <v>12.097744</v>
      </c>
      <c r="G29" s="175">
        <v>12.097744</v>
      </c>
      <c r="H29" s="175">
        <v>12.097744</v>
      </c>
      <c r="I29" s="175">
        <v>12.097744</v>
      </c>
      <c r="J29" s="175">
        <v>12.097744</v>
      </c>
      <c r="K29" s="175">
        <v>12.097744</v>
      </c>
      <c r="L29" s="175">
        <v>12.097744</v>
      </c>
      <c r="M29" s="175">
        <v>12.097744</v>
      </c>
      <c r="N29" s="175">
        <v>12.097744</v>
      </c>
      <c r="O29" s="10"/>
      <c r="P29" s="10"/>
      <c r="Q29" s="10"/>
    </row>
    <row r="30" spans="1:17" ht="13" outlineLevel="4" x14ac:dyDescent="0.3">
      <c r="A30" s="174" t="s">
        <v>79</v>
      </c>
      <c r="B30" s="175">
        <v>12.097744</v>
      </c>
      <c r="C30" s="175">
        <v>12.097744</v>
      </c>
      <c r="D30" s="175">
        <v>12.097744</v>
      </c>
      <c r="E30" s="175">
        <v>12.097744</v>
      </c>
      <c r="F30" s="175">
        <v>12.097744</v>
      </c>
      <c r="G30" s="175">
        <v>12.097744</v>
      </c>
      <c r="H30" s="175">
        <v>12.097744</v>
      </c>
      <c r="I30" s="175">
        <v>12.097744</v>
      </c>
      <c r="J30" s="175">
        <v>12.097744</v>
      </c>
      <c r="K30" s="175">
        <v>12.097744</v>
      </c>
      <c r="L30" s="175">
        <v>12.097744</v>
      </c>
      <c r="M30" s="175">
        <v>12.097744</v>
      </c>
      <c r="N30" s="175">
        <v>12.097744</v>
      </c>
      <c r="O30" s="10"/>
      <c r="P30" s="10"/>
      <c r="Q30" s="10"/>
    </row>
    <row r="31" spans="1:17" ht="13" outlineLevel="4" x14ac:dyDescent="0.3">
      <c r="A31" s="174" t="s">
        <v>80</v>
      </c>
      <c r="B31" s="175">
        <v>12.097744</v>
      </c>
      <c r="C31" s="175">
        <v>12.097744</v>
      </c>
      <c r="D31" s="175">
        <v>12.097744</v>
      </c>
      <c r="E31" s="175">
        <v>12.097744</v>
      </c>
      <c r="F31" s="175">
        <v>12.097744</v>
      </c>
      <c r="G31" s="175">
        <v>12.097744</v>
      </c>
      <c r="H31" s="175">
        <v>12.097744</v>
      </c>
      <c r="I31" s="175">
        <v>12.097744</v>
      </c>
      <c r="J31" s="175">
        <v>12.097744</v>
      </c>
      <c r="K31" s="175">
        <v>12.097744</v>
      </c>
      <c r="L31" s="175">
        <v>12.097744</v>
      </c>
      <c r="M31" s="175">
        <v>12.097744</v>
      </c>
      <c r="N31" s="175">
        <v>12.097744</v>
      </c>
      <c r="O31" s="10"/>
      <c r="P31" s="10"/>
      <c r="Q31" s="10"/>
    </row>
    <row r="32" spans="1:17" ht="13" outlineLevel="4" x14ac:dyDescent="0.3">
      <c r="A32" s="174" t="s">
        <v>81</v>
      </c>
      <c r="B32" s="175">
        <v>12.097744</v>
      </c>
      <c r="C32" s="175">
        <v>12.097744</v>
      </c>
      <c r="D32" s="175">
        <v>12.097744</v>
      </c>
      <c r="E32" s="175">
        <v>12.097744</v>
      </c>
      <c r="F32" s="175">
        <v>12.097744</v>
      </c>
      <c r="G32" s="175">
        <v>12.097744</v>
      </c>
      <c r="H32" s="175">
        <v>12.097744</v>
      </c>
      <c r="I32" s="175">
        <v>12.097744</v>
      </c>
      <c r="J32" s="175">
        <v>12.097744</v>
      </c>
      <c r="K32" s="175">
        <v>12.097744</v>
      </c>
      <c r="L32" s="175">
        <v>12.097744</v>
      </c>
      <c r="M32" s="175">
        <v>12.097744</v>
      </c>
      <c r="N32" s="175">
        <v>12.097744</v>
      </c>
      <c r="O32" s="10"/>
      <c r="P32" s="10"/>
      <c r="Q32" s="10"/>
    </row>
    <row r="33" spans="1:17" ht="13" outlineLevel="4" x14ac:dyDescent="0.3">
      <c r="A33" s="174" t="s">
        <v>83</v>
      </c>
      <c r="B33" s="175">
        <v>126.120059</v>
      </c>
      <c r="C33" s="175">
        <v>129.381271</v>
      </c>
      <c r="D33" s="175">
        <v>131.93364500000001</v>
      </c>
      <c r="E33" s="175">
        <v>138.14561599999999</v>
      </c>
      <c r="F33" s="175">
        <v>147.22369699999999</v>
      </c>
      <c r="G33" s="175">
        <v>161.22369699999999</v>
      </c>
      <c r="H33" s="175">
        <v>169.22369699999999</v>
      </c>
      <c r="I33" s="175">
        <v>158.991153</v>
      </c>
      <c r="J33" s="175">
        <v>180.991153</v>
      </c>
      <c r="K33" s="175">
        <v>200.710341</v>
      </c>
      <c r="L33" s="175">
        <v>213.471464</v>
      </c>
      <c r="M33" s="175">
        <v>254.55799400000001</v>
      </c>
      <c r="N33" s="175">
        <v>284.55799400000001</v>
      </c>
      <c r="O33" s="10"/>
      <c r="P33" s="10"/>
      <c r="Q33" s="10"/>
    </row>
    <row r="34" spans="1:17" ht="13" outlineLevel="4" x14ac:dyDescent="0.3">
      <c r="A34" s="174" t="s">
        <v>84</v>
      </c>
      <c r="B34" s="175">
        <v>257.09775100000002</v>
      </c>
      <c r="C34" s="175">
        <v>257.09775100000002</v>
      </c>
      <c r="D34" s="175">
        <v>257.09775100000002</v>
      </c>
      <c r="E34" s="175">
        <v>257.09775100000002</v>
      </c>
      <c r="F34" s="175">
        <v>257.09775100000002</v>
      </c>
      <c r="G34" s="175">
        <v>257.09775100000002</v>
      </c>
      <c r="H34" s="175">
        <v>257.09775100000002</v>
      </c>
      <c r="I34" s="175">
        <v>257.09775100000002</v>
      </c>
      <c r="J34" s="175">
        <v>257.09775100000002</v>
      </c>
      <c r="K34" s="175">
        <v>257.09775100000002</v>
      </c>
      <c r="L34" s="175">
        <v>257.09775100000002</v>
      </c>
      <c r="M34" s="175">
        <v>257.09775100000002</v>
      </c>
      <c r="N34" s="175">
        <v>257.09775100000002</v>
      </c>
      <c r="O34" s="10"/>
      <c r="P34" s="10"/>
      <c r="Q34" s="10"/>
    </row>
    <row r="35" spans="1:17" ht="13" outlineLevel="4" x14ac:dyDescent="0.3">
      <c r="A35" s="174" t="s">
        <v>85</v>
      </c>
      <c r="B35" s="175">
        <v>22.5396</v>
      </c>
      <c r="C35" s="175">
        <v>22.5396</v>
      </c>
      <c r="D35" s="175">
        <v>22.5396</v>
      </c>
      <c r="E35" s="175">
        <v>22.5396</v>
      </c>
      <c r="F35" s="175">
        <v>22.5396</v>
      </c>
      <c r="G35" s="175">
        <v>0</v>
      </c>
      <c r="H35" s="175">
        <v>6.4062809999999999</v>
      </c>
      <c r="I35" s="175">
        <v>8.7784899999999997</v>
      </c>
      <c r="J35" s="175">
        <v>8.7784899999999997</v>
      </c>
      <c r="K35" s="175">
        <v>11.191801</v>
      </c>
      <c r="L35" s="175">
        <v>11.191801</v>
      </c>
      <c r="M35" s="175">
        <v>11.191801</v>
      </c>
      <c r="N35" s="175">
        <v>16.191801000000002</v>
      </c>
      <c r="O35" s="10"/>
      <c r="P35" s="10"/>
      <c r="Q35" s="10"/>
    </row>
    <row r="36" spans="1:17" ht="13" outlineLevel="4" x14ac:dyDescent="0.3">
      <c r="A36" s="174" t="s">
        <v>86</v>
      </c>
      <c r="B36" s="175">
        <v>41.069235999999997</v>
      </c>
      <c r="C36" s="175">
        <v>41.069235999999997</v>
      </c>
      <c r="D36" s="175">
        <v>41.069235999999997</v>
      </c>
      <c r="E36" s="175">
        <v>41.069235999999997</v>
      </c>
      <c r="F36" s="175">
        <v>41.069235999999997</v>
      </c>
      <c r="G36" s="175">
        <v>41.069235999999997</v>
      </c>
      <c r="H36" s="175">
        <v>41.069235999999997</v>
      </c>
      <c r="I36" s="175">
        <v>41.069235999999997</v>
      </c>
      <c r="J36" s="175">
        <v>41.069235999999997</v>
      </c>
      <c r="K36" s="175">
        <v>41.069235999999997</v>
      </c>
      <c r="L36" s="175">
        <v>41.069235999999997</v>
      </c>
      <c r="M36" s="175">
        <v>41.069235999999997</v>
      </c>
      <c r="N36" s="175">
        <v>46.069235999999997</v>
      </c>
      <c r="O36" s="10"/>
      <c r="P36" s="10"/>
      <c r="Q36" s="10"/>
    </row>
    <row r="37" spans="1:17" ht="13" outlineLevel="4" x14ac:dyDescent="0.3">
      <c r="A37" s="174" t="s">
        <v>88</v>
      </c>
      <c r="B37" s="175">
        <v>41.080407000000001</v>
      </c>
      <c r="C37" s="175">
        <v>41.080407000000001</v>
      </c>
      <c r="D37" s="175">
        <v>41.080407000000001</v>
      </c>
      <c r="E37" s="175">
        <v>41.080407000000001</v>
      </c>
      <c r="F37" s="175">
        <v>41.080407000000001</v>
      </c>
      <c r="G37" s="175">
        <v>41.080407000000001</v>
      </c>
      <c r="H37" s="175">
        <v>41.080407000000001</v>
      </c>
      <c r="I37" s="175">
        <v>41.080407000000001</v>
      </c>
      <c r="J37" s="175">
        <v>41.080407000000001</v>
      </c>
      <c r="K37" s="175">
        <v>41.080407000000001</v>
      </c>
      <c r="L37" s="175">
        <v>41.080407000000001</v>
      </c>
      <c r="M37" s="175">
        <v>41.080407000000001</v>
      </c>
      <c r="N37" s="175">
        <v>41.080407000000001</v>
      </c>
      <c r="O37" s="10"/>
      <c r="P37" s="10"/>
      <c r="Q37" s="10"/>
    </row>
    <row r="38" spans="1:17" ht="13" outlineLevel="4" x14ac:dyDescent="0.3">
      <c r="A38" s="174" t="s">
        <v>89</v>
      </c>
      <c r="B38" s="175">
        <v>17.781690999999999</v>
      </c>
      <c r="C38" s="175">
        <v>17.781690999999999</v>
      </c>
      <c r="D38" s="175">
        <v>17.781690999999999</v>
      </c>
      <c r="E38" s="175">
        <v>17.781690999999999</v>
      </c>
      <c r="F38" s="175">
        <v>17.781690999999999</v>
      </c>
      <c r="G38" s="175">
        <v>17.781690999999999</v>
      </c>
      <c r="H38" s="175">
        <v>17.781690999999999</v>
      </c>
      <c r="I38" s="175">
        <v>17.781690999999999</v>
      </c>
      <c r="J38" s="175">
        <v>17.781690999999999</v>
      </c>
      <c r="K38" s="175">
        <v>17.781690999999999</v>
      </c>
      <c r="L38" s="175">
        <v>17.781690999999999</v>
      </c>
      <c r="M38" s="175">
        <v>17.781690999999999</v>
      </c>
      <c r="N38" s="175">
        <v>17.781690999999999</v>
      </c>
      <c r="O38" s="10"/>
      <c r="P38" s="10"/>
      <c r="Q38" s="10"/>
    </row>
    <row r="39" spans="1:17" ht="13" outlineLevel="4" x14ac:dyDescent="0.3">
      <c r="A39" s="174" t="s">
        <v>90</v>
      </c>
      <c r="B39" s="175">
        <v>2.5</v>
      </c>
      <c r="C39" s="175">
        <v>2.5</v>
      </c>
      <c r="D39" s="175">
        <v>2.5</v>
      </c>
      <c r="E39" s="175">
        <v>2.5</v>
      </c>
      <c r="F39" s="175">
        <v>2.5</v>
      </c>
      <c r="G39" s="175">
        <v>2.5</v>
      </c>
      <c r="H39" s="175">
        <v>2.5</v>
      </c>
      <c r="I39" s="175">
        <v>2.5</v>
      </c>
      <c r="J39" s="175">
        <v>2.5</v>
      </c>
      <c r="K39" s="175">
        <v>2.5</v>
      </c>
      <c r="L39" s="175">
        <v>2.5</v>
      </c>
      <c r="M39" s="175">
        <v>2.5</v>
      </c>
      <c r="N39" s="175">
        <v>2.5</v>
      </c>
      <c r="O39" s="10"/>
      <c r="P39" s="10"/>
      <c r="Q39" s="10"/>
    </row>
    <row r="40" spans="1:17" ht="13" outlineLevel="4" x14ac:dyDescent="0.3">
      <c r="A40" s="174" t="s">
        <v>91</v>
      </c>
      <c r="B40" s="175">
        <v>45.625538052300001</v>
      </c>
      <c r="C40" s="175">
        <v>45.233548435899998</v>
      </c>
      <c r="D40" s="175">
        <v>15</v>
      </c>
      <c r="E40" s="175">
        <v>15</v>
      </c>
      <c r="F40" s="175">
        <v>15</v>
      </c>
      <c r="G40" s="175">
        <v>15</v>
      </c>
      <c r="H40" s="175">
        <v>0</v>
      </c>
      <c r="I40" s="175">
        <v>0</v>
      </c>
      <c r="J40" s="175">
        <v>0</v>
      </c>
      <c r="K40" s="175">
        <v>0</v>
      </c>
      <c r="L40" s="175">
        <v>0</v>
      </c>
      <c r="M40" s="175">
        <v>0</v>
      </c>
      <c r="N40" s="175">
        <v>0</v>
      </c>
      <c r="O40" s="10"/>
      <c r="P40" s="10"/>
      <c r="Q40" s="10"/>
    </row>
    <row r="41" spans="1:17" ht="13" outlineLevel="4" x14ac:dyDescent="0.3">
      <c r="A41" s="174" t="s">
        <v>92</v>
      </c>
      <c r="B41" s="175">
        <v>13</v>
      </c>
      <c r="C41" s="175">
        <v>10.5</v>
      </c>
      <c r="D41" s="175">
        <v>5.5</v>
      </c>
      <c r="E41" s="175">
        <v>5.5</v>
      </c>
      <c r="F41" s="175">
        <v>5.5</v>
      </c>
      <c r="G41" s="175">
        <v>5.5</v>
      </c>
      <c r="H41" s="175">
        <v>5.5</v>
      </c>
      <c r="I41" s="175">
        <v>5.5</v>
      </c>
      <c r="J41" s="175">
        <v>5.5</v>
      </c>
      <c r="K41" s="175">
        <v>5.5</v>
      </c>
      <c r="L41" s="175">
        <v>5.5</v>
      </c>
      <c r="M41" s="175">
        <v>5.5</v>
      </c>
      <c r="N41" s="175">
        <v>5.5</v>
      </c>
      <c r="O41" s="10"/>
      <c r="P41" s="10"/>
      <c r="Q41" s="10"/>
    </row>
    <row r="42" spans="1:17" ht="13" outlineLevel="3" x14ac:dyDescent="0.3">
      <c r="A42" s="176" t="s">
        <v>93</v>
      </c>
      <c r="B42" s="175">
        <f t="shared" ref="B42:N42" si="4">SUM(B$43:B$43)</f>
        <v>1.5870302702600001</v>
      </c>
      <c r="C42" s="175">
        <f t="shared" si="4"/>
        <v>1.5870302702600001</v>
      </c>
      <c r="D42" s="175">
        <f t="shared" si="4"/>
        <v>1.5870302702600001</v>
      </c>
      <c r="E42" s="175">
        <f t="shared" si="4"/>
        <v>1.5870302702600001</v>
      </c>
      <c r="F42" s="175">
        <f t="shared" si="4"/>
        <v>1.5539671396400001</v>
      </c>
      <c r="G42" s="175">
        <f t="shared" si="4"/>
        <v>1.5539671396400001</v>
      </c>
      <c r="H42" s="175">
        <f t="shared" si="4"/>
        <v>1.5539671396400001</v>
      </c>
      <c r="I42" s="175">
        <f t="shared" si="4"/>
        <v>1.5209040090199999</v>
      </c>
      <c r="J42" s="175">
        <f t="shared" si="4"/>
        <v>1.5209040090199999</v>
      </c>
      <c r="K42" s="175">
        <f t="shared" si="4"/>
        <v>1.4878408783999999</v>
      </c>
      <c r="L42" s="175">
        <f t="shared" si="4"/>
        <v>1.4878408783999999</v>
      </c>
      <c r="M42" s="175">
        <f t="shared" si="4"/>
        <v>1.4878408783999999</v>
      </c>
      <c r="N42" s="175">
        <f t="shared" si="4"/>
        <v>1.4547777477799999</v>
      </c>
      <c r="O42" s="10"/>
      <c r="P42" s="10"/>
      <c r="Q42" s="10"/>
    </row>
    <row r="43" spans="1:17" ht="13" outlineLevel="4" x14ac:dyDescent="0.3">
      <c r="A43" s="174" t="s">
        <v>94</v>
      </c>
      <c r="B43" s="175">
        <v>1.5870302702600001</v>
      </c>
      <c r="C43" s="175">
        <v>1.5870302702600001</v>
      </c>
      <c r="D43" s="175">
        <v>1.5870302702600001</v>
      </c>
      <c r="E43" s="175">
        <v>1.5870302702600001</v>
      </c>
      <c r="F43" s="175">
        <v>1.5539671396400001</v>
      </c>
      <c r="G43" s="175">
        <v>1.5539671396400001</v>
      </c>
      <c r="H43" s="175">
        <v>1.5539671396400001</v>
      </c>
      <c r="I43" s="175">
        <v>1.5209040090199999</v>
      </c>
      <c r="J43" s="175">
        <v>1.5209040090199999</v>
      </c>
      <c r="K43" s="175">
        <v>1.4878408783999999</v>
      </c>
      <c r="L43" s="175">
        <v>1.4878408783999999</v>
      </c>
      <c r="M43" s="175">
        <v>1.4878408783999999</v>
      </c>
      <c r="N43" s="175">
        <v>1.4547777477799999</v>
      </c>
      <c r="O43" s="10"/>
      <c r="P43" s="10"/>
      <c r="Q43" s="10"/>
    </row>
    <row r="44" spans="1:17" ht="14.5" outlineLevel="2" x14ac:dyDescent="0.35">
      <c r="A44" s="177" t="s">
        <v>2</v>
      </c>
      <c r="B44" s="178">
        <f t="shared" ref="B44:N44" si="5">B$45+B$50+B$58</f>
        <v>68.798719139519989</v>
      </c>
      <c r="C44" s="178">
        <f t="shared" si="5"/>
        <v>67.753240650639995</v>
      </c>
      <c r="D44" s="178">
        <f t="shared" si="5"/>
        <v>66.991864908019991</v>
      </c>
      <c r="E44" s="178">
        <f t="shared" si="5"/>
        <v>66.93128043726</v>
      </c>
      <c r="F44" s="178">
        <f t="shared" si="5"/>
        <v>68.18437776639999</v>
      </c>
      <c r="G44" s="178">
        <f t="shared" si="5"/>
        <v>68.845400875780001</v>
      </c>
      <c r="H44" s="178">
        <f t="shared" si="5"/>
        <v>69.013341075039989</v>
      </c>
      <c r="I44" s="178">
        <f t="shared" si="5"/>
        <v>69.501604626290003</v>
      </c>
      <c r="J44" s="178">
        <f t="shared" si="5"/>
        <v>70.031251152829995</v>
      </c>
      <c r="K44" s="178">
        <f t="shared" si="5"/>
        <v>67.203852496500005</v>
      </c>
      <c r="L44" s="178">
        <f t="shared" si="5"/>
        <v>66.11189128513</v>
      </c>
      <c r="M44" s="178">
        <f t="shared" si="5"/>
        <v>66.571977066239995</v>
      </c>
      <c r="N44" s="178">
        <f t="shared" si="5"/>
        <v>69.357463909260005</v>
      </c>
      <c r="O44" s="10"/>
      <c r="P44" s="10"/>
      <c r="Q44" s="10"/>
    </row>
    <row r="45" spans="1:17" ht="13" outlineLevel="3" x14ac:dyDescent="0.3">
      <c r="A45" s="176" t="s">
        <v>58</v>
      </c>
      <c r="B45" s="175">
        <f t="shared" ref="B45:N45" si="6">SUM(B$46:B$49)</f>
        <v>7.9750116000000002</v>
      </c>
      <c r="C45" s="175">
        <f t="shared" si="6"/>
        <v>7.9750116000000002</v>
      </c>
      <c r="D45" s="175">
        <f t="shared" si="6"/>
        <v>7.9750116000000002</v>
      </c>
      <c r="E45" s="175">
        <f t="shared" si="6"/>
        <v>7.9750116000000002</v>
      </c>
      <c r="F45" s="175">
        <f t="shared" si="6"/>
        <v>7.9750116000000002</v>
      </c>
      <c r="G45" s="175">
        <f t="shared" si="6"/>
        <v>7.9750116000000002</v>
      </c>
      <c r="H45" s="175">
        <f t="shared" si="6"/>
        <v>7.9750116000000002</v>
      </c>
      <c r="I45" s="175">
        <f t="shared" si="6"/>
        <v>7.9750116000000002</v>
      </c>
      <c r="J45" s="175">
        <f t="shared" si="6"/>
        <v>7.9750116000000002</v>
      </c>
      <c r="K45" s="175">
        <f t="shared" si="6"/>
        <v>4.4750116000000002</v>
      </c>
      <c r="L45" s="175">
        <f t="shared" si="6"/>
        <v>4.4750116000000002</v>
      </c>
      <c r="M45" s="175">
        <f t="shared" si="6"/>
        <v>4.4750116000000002</v>
      </c>
      <c r="N45" s="175">
        <f t="shared" si="6"/>
        <v>4.4750116000000002</v>
      </c>
      <c r="O45" s="10"/>
      <c r="P45" s="10"/>
      <c r="Q45" s="10"/>
    </row>
    <row r="46" spans="1:17" ht="13" outlineLevel="4" x14ac:dyDescent="0.3">
      <c r="A46" s="174" t="s">
        <v>138</v>
      </c>
      <c r="B46" s="175">
        <v>1.1600000000000001E-5</v>
      </c>
      <c r="C46" s="175">
        <v>1.1600000000000001E-5</v>
      </c>
      <c r="D46" s="175">
        <v>1.1600000000000001E-5</v>
      </c>
      <c r="E46" s="175">
        <v>1.1600000000000001E-5</v>
      </c>
      <c r="F46" s="175">
        <v>1.1600000000000001E-5</v>
      </c>
      <c r="G46" s="175">
        <v>1.1600000000000001E-5</v>
      </c>
      <c r="H46" s="175">
        <v>1.1600000000000001E-5</v>
      </c>
      <c r="I46" s="175">
        <v>1.1600000000000001E-5</v>
      </c>
      <c r="J46" s="175">
        <v>1.1600000000000001E-5</v>
      </c>
      <c r="K46" s="175">
        <v>1.1600000000000001E-5</v>
      </c>
      <c r="L46" s="175">
        <v>1.1600000000000001E-5</v>
      </c>
      <c r="M46" s="175">
        <v>1.1600000000000001E-5</v>
      </c>
      <c r="N46" s="175">
        <v>1.1600000000000001E-5</v>
      </c>
      <c r="O46" s="10"/>
      <c r="P46" s="10"/>
      <c r="Q46" s="10"/>
    </row>
    <row r="47" spans="1:17" ht="13" outlineLevel="4" x14ac:dyDescent="0.3">
      <c r="A47" s="174" t="s">
        <v>139</v>
      </c>
      <c r="B47" s="175">
        <v>2.4750000000000001</v>
      </c>
      <c r="C47" s="175">
        <v>2.4750000000000001</v>
      </c>
      <c r="D47" s="175">
        <v>2.4750000000000001</v>
      </c>
      <c r="E47" s="175">
        <v>2.4750000000000001</v>
      </c>
      <c r="F47" s="175">
        <v>2.4750000000000001</v>
      </c>
      <c r="G47" s="175">
        <v>2.4750000000000001</v>
      </c>
      <c r="H47" s="175">
        <v>2.4750000000000001</v>
      </c>
      <c r="I47" s="175">
        <v>2.4750000000000001</v>
      </c>
      <c r="J47" s="175">
        <v>2.4750000000000001</v>
      </c>
      <c r="K47" s="175">
        <v>2.4750000000000001</v>
      </c>
      <c r="L47" s="175">
        <v>2.4750000000000001</v>
      </c>
      <c r="M47" s="175">
        <v>2.4750000000000001</v>
      </c>
      <c r="N47" s="175">
        <v>2.4750000000000001</v>
      </c>
      <c r="O47" s="10"/>
      <c r="P47" s="10"/>
      <c r="Q47" s="10"/>
    </row>
    <row r="48" spans="1:17" ht="13" outlineLevel="4" x14ac:dyDescent="0.3">
      <c r="A48" s="174" t="s">
        <v>143</v>
      </c>
      <c r="B48" s="175">
        <v>3.5</v>
      </c>
      <c r="C48" s="175">
        <v>3.5</v>
      </c>
      <c r="D48" s="175">
        <v>3.5</v>
      </c>
      <c r="E48" s="175">
        <v>3.5</v>
      </c>
      <c r="F48" s="175">
        <v>3.5</v>
      </c>
      <c r="G48" s="175">
        <v>3.5</v>
      </c>
      <c r="H48" s="175">
        <v>3.5</v>
      </c>
      <c r="I48" s="175">
        <v>3.5</v>
      </c>
      <c r="J48" s="175">
        <v>3.5</v>
      </c>
      <c r="K48" s="175">
        <v>0</v>
      </c>
      <c r="L48" s="175">
        <v>0</v>
      </c>
      <c r="M48" s="175">
        <v>0</v>
      </c>
      <c r="N48" s="175">
        <v>0</v>
      </c>
      <c r="O48" s="10"/>
      <c r="P48" s="10"/>
      <c r="Q48" s="10"/>
    </row>
    <row r="49" spans="1:17" ht="13" outlineLevel="4" x14ac:dyDescent="0.3">
      <c r="A49" s="174" t="s">
        <v>144</v>
      </c>
      <c r="B49" s="175">
        <v>2</v>
      </c>
      <c r="C49" s="175">
        <v>2</v>
      </c>
      <c r="D49" s="175">
        <v>2</v>
      </c>
      <c r="E49" s="175">
        <v>2</v>
      </c>
      <c r="F49" s="175">
        <v>2</v>
      </c>
      <c r="G49" s="175">
        <v>2</v>
      </c>
      <c r="H49" s="175">
        <v>2</v>
      </c>
      <c r="I49" s="175">
        <v>2</v>
      </c>
      <c r="J49" s="175">
        <v>2</v>
      </c>
      <c r="K49" s="175">
        <v>2</v>
      </c>
      <c r="L49" s="175">
        <v>2</v>
      </c>
      <c r="M49" s="175">
        <v>2</v>
      </c>
      <c r="N49" s="175">
        <v>2</v>
      </c>
      <c r="O49" s="10"/>
      <c r="P49" s="10"/>
      <c r="Q49" s="10"/>
    </row>
    <row r="50" spans="1:17" ht="13" outlineLevel="3" x14ac:dyDescent="0.3">
      <c r="A50" s="176" t="s">
        <v>93</v>
      </c>
      <c r="B50" s="175">
        <f t="shared" ref="B50:N50" si="7">SUM(B$51:B$57)</f>
        <v>60.822752889519997</v>
      </c>
      <c r="C50" s="175">
        <f t="shared" si="7"/>
        <v>59.777274400639996</v>
      </c>
      <c r="D50" s="175">
        <f t="shared" si="7"/>
        <v>59.015898658019999</v>
      </c>
      <c r="E50" s="175">
        <f t="shared" si="7"/>
        <v>58.955314187260001</v>
      </c>
      <c r="F50" s="175">
        <f t="shared" si="7"/>
        <v>60.208411516399998</v>
      </c>
      <c r="G50" s="175">
        <f t="shared" si="7"/>
        <v>60.869434625780002</v>
      </c>
      <c r="H50" s="175">
        <f t="shared" si="7"/>
        <v>61.037374825039997</v>
      </c>
      <c r="I50" s="175">
        <f t="shared" si="7"/>
        <v>61.525638376290004</v>
      </c>
      <c r="J50" s="175">
        <f t="shared" si="7"/>
        <v>62.055284902829996</v>
      </c>
      <c r="K50" s="175">
        <f t="shared" si="7"/>
        <v>62.727886246500006</v>
      </c>
      <c r="L50" s="175">
        <f t="shared" si="7"/>
        <v>61.635925035130001</v>
      </c>
      <c r="M50" s="175">
        <f t="shared" si="7"/>
        <v>62.096010816239996</v>
      </c>
      <c r="N50" s="175">
        <f t="shared" si="7"/>
        <v>64.881497659260006</v>
      </c>
      <c r="O50" s="10"/>
      <c r="P50" s="10"/>
      <c r="Q50" s="10"/>
    </row>
    <row r="51" spans="1:17" ht="13" outlineLevel="4" x14ac:dyDescent="0.3">
      <c r="A51" s="174" t="s">
        <v>145</v>
      </c>
      <c r="B51" s="175">
        <v>3.58431738666</v>
      </c>
      <c r="C51" s="175">
        <v>3.4917170181300001</v>
      </c>
      <c r="D51" s="175">
        <v>3.4177869273899999</v>
      </c>
      <c r="E51" s="175">
        <v>3.37034461442</v>
      </c>
      <c r="F51" s="175">
        <v>3.2980636903399998</v>
      </c>
      <c r="G51" s="175">
        <v>3.23893623848</v>
      </c>
      <c r="H51" s="175">
        <v>3.1488273977299999</v>
      </c>
      <c r="I51" s="175">
        <v>3.0743927236499999</v>
      </c>
      <c r="J51" s="175">
        <v>2.9875688828999998</v>
      </c>
      <c r="K51" s="175">
        <v>2.8943976810300001</v>
      </c>
      <c r="L51" s="175">
        <v>2.8054570347299999</v>
      </c>
      <c r="M51" s="175">
        <v>2.7221536106399999</v>
      </c>
      <c r="N51" s="175">
        <v>2.6414929643299998</v>
      </c>
      <c r="O51" s="10"/>
      <c r="P51" s="10"/>
      <c r="Q51" s="10"/>
    </row>
    <row r="52" spans="1:17" ht="13" outlineLevel="4" x14ac:dyDescent="0.3">
      <c r="A52" s="174" t="s">
        <v>146</v>
      </c>
      <c r="B52" s="175">
        <v>0.43890773350000001</v>
      </c>
      <c r="C52" s="175">
        <v>0.42398510576999998</v>
      </c>
      <c r="D52" s="175">
        <v>0.41391675025000002</v>
      </c>
      <c r="E52" s="175">
        <v>0.41073521696999998</v>
      </c>
      <c r="F52" s="175">
        <v>0.40109564479999998</v>
      </c>
      <c r="G52" s="175">
        <v>0.39487597541000002</v>
      </c>
      <c r="H52" s="175">
        <v>0.38060114489000002</v>
      </c>
      <c r="I52" s="175">
        <v>0.37040159771999998</v>
      </c>
      <c r="J52" s="175">
        <v>0.35698086722</v>
      </c>
      <c r="K52" s="175">
        <v>0.34190982281999999</v>
      </c>
      <c r="L52" s="175">
        <v>0.32793872285999998</v>
      </c>
      <c r="M52" s="175">
        <v>0.31543330068999997</v>
      </c>
      <c r="N52" s="175">
        <v>0.30361500074999997</v>
      </c>
      <c r="O52" s="10"/>
      <c r="P52" s="10"/>
      <c r="Q52" s="10"/>
    </row>
    <row r="53" spans="1:17" ht="13" outlineLevel="4" x14ac:dyDescent="0.3">
      <c r="A53" s="174" t="s">
        <v>147</v>
      </c>
      <c r="B53" s="175">
        <v>11.39334056433</v>
      </c>
      <c r="C53" s="175">
        <v>11.316509228679999</v>
      </c>
      <c r="D53" s="175">
        <v>12.21268514456</v>
      </c>
      <c r="E53" s="175">
        <v>12.696562370720001</v>
      </c>
      <c r="F53" s="175">
        <v>13.205688354079999</v>
      </c>
      <c r="G53" s="175">
        <v>13.821234488769999</v>
      </c>
      <c r="H53" s="175">
        <v>13.99442030688</v>
      </c>
      <c r="I53" s="175">
        <v>14.310625384270001</v>
      </c>
      <c r="J53" s="175">
        <v>14.62591897767</v>
      </c>
      <c r="K53" s="175">
        <v>14.79331891348</v>
      </c>
      <c r="L53" s="175">
        <v>14.062058941309999</v>
      </c>
      <c r="M53" s="175">
        <v>14.086726919889999</v>
      </c>
      <c r="N53" s="175">
        <v>14.99023391273</v>
      </c>
      <c r="O53" s="10"/>
      <c r="P53" s="10"/>
      <c r="Q53" s="10"/>
    </row>
    <row r="54" spans="1:17" ht="13" outlineLevel="4" x14ac:dyDescent="0.3">
      <c r="A54" s="174" t="s">
        <v>148</v>
      </c>
      <c r="B54" s="175">
        <v>13.171333369219999</v>
      </c>
      <c r="C54" s="175">
        <v>12.97607546887</v>
      </c>
      <c r="D54" s="175">
        <v>12.839997142670001</v>
      </c>
      <c r="E54" s="175">
        <v>12.78847173036</v>
      </c>
      <c r="F54" s="175">
        <v>12.65843337862</v>
      </c>
      <c r="G54" s="175">
        <v>12.570878066080001</v>
      </c>
      <c r="H54" s="175">
        <v>12.384447808459999</v>
      </c>
      <c r="I54" s="175">
        <v>12.248608823890001</v>
      </c>
      <c r="J54" s="175">
        <v>12.07308847749</v>
      </c>
      <c r="K54" s="175">
        <v>11.87707343528</v>
      </c>
      <c r="L54" s="175">
        <v>11.69486053512</v>
      </c>
      <c r="M54" s="175">
        <v>11.53128034319</v>
      </c>
      <c r="N54" s="175">
        <v>13.25976210098</v>
      </c>
      <c r="O54" s="10"/>
      <c r="P54" s="10"/>
      <c r="Q54" s="10"/>
    </row>
    <row r="55" spans="1:17" ht="13" outlineLevel="4" x14ac:dyDescent="0.3">
      <c r="A55" s="174" t="s">
        <v>149</v>
      </c>
      <c r="B55" s="175">
        <v>0.33762133300000002</v>
      </c>
      <c r="C55" s="175">
        <v>0.32614238846999999</v>
      </c>
      <c r="D55" s="175">
        <v>0.31839749949000001</v>
      </c>
      <c r="E55" s="175">
        <v>0.31595016605999998</v>
      </c>
      <c r="F55" s="175">
        <v>0.30853511040999998</v>
      </c>
      <c r="G55" s="175">
        <v>0.30375074919</v>
      </c>
      <c r="H55" s="175">
        <v>0.29277011020999999</v>
      </c>
      <c r="I55" s="175">
        <v>0.28492430455000001</v>
      </c>
      <c r="J55" s="175">
        <v>0.27460066557000001</v>
      </c>
      <c r="K55" s="175">
        <v>0.26300755437000001</v>
      </c>
      <c r="L55" s="175">
        <v>0.25226055426999999</v>
      </c>
      <c r="M55" s="175">
        <v>0.24264099860999999</v>
      </c>
      <c r="N55" s="175">
        <v>0.23354999851</v>
      </c>
      <c r="O55" s="10"/>
      <c r="P55" s="10"/>
      <c r="Q55" s="10"/>
    </row>
    <row r="56" spans="1:17" ht="13" outlineLevel="4" x14ac:dyDescent="0.3">
      <c r="A56" s="174" t="s">
        <v>150</v>
      </c>
      <c r="B56" s="175">
        <v>0.47266986649999998</v>
      </c>
      <c r="C56" s="175">
        <v>0.45659934422999998</v>
      </c>
      <c r="D56" s="175">
        <v>0.44575649974999998</v>
      </c>
      <c r="E56" s="175">
        <v>0.44233023303000002</v>
      </c>
      <c r="F56" s="175">
        <v>0.43194915519999999</v>
      </c>
      <c r="G56" s="175">
        <v>0.42525104958999999</v>
      </c>
      <c r="H56" s="175">
        <v>0.40987815510999998</v>
      </c>
      <c r="I56" s="175">
        <v>0.39889402728000001</v>
      </c>
      <c r="J56" s="175">
        <v>0.38444093278000002</v>
      </c>
      <c r="K56" s="175">
        <v>0.36821057718</v>
      </c>
      <c r="L56" s="175">
        <v>0.35316477714</v>
      </c>
      <c r="M56" s="175">
        <v>0.33969739930999998</v>
      </c>
      <c r="N56" s="175">
        <v>0.32696999924999998</v>
      </c>
      <c r="O56" s="10"/>
      <c r="P56" s="10"/>
      <c r="Q56" s="10"/>
    </row>
    <row r="57" spans="1:17" ht="13" outlineLevel="4" x14ac:dyDescent="0.3">
      <c r="A57" s="174" t="s">
        <v>153</v>
      </c>
      <c r="B57" s="175">
        <v>31.42456263631</v>
      </c>
      <c r="C57" s="175">
        <v>30.786245846490001</v>
      </c>
      <c r="D57" s="175">
        <v>29.367358693909999</v>
      </c>
      <c r="E57" s="175">
        <v>28.930919855700001</v>
      </c>
      <c r="F57" s="175">
        <v>29.90464618295</v>
      </c>
      <c r="G57" s="175">
        <v>30.11450805826</v>
      </c>
      <c r="H57" s="175">
        <v>30.426429901759999</v>
      </c>
      <c r="I57" s="175">
        <v>30.83779151493</v>
      </c>
      <c r="J57" s="175">
        <v>31.3526860992</v>
      </c>
      <c r="K57" s="175">
        <v>32.189968262340003</v>
      </c>
      <c r="L57" s="175">
        <v>32.140184469700003</v>
      </c>
      <c r="M57" s="175">
        <v>32.858078243910001</v>
      </c>
      <c r="N57" s="175">
        <v>33.125873682710001</v>
      </c>
      <c r="O57" s="10"/>
      <c r="P57" s="10"/>
      <c r="Q57" s="10"/>
    </row>
    <row r="58" spans="1:17" ht="13" outlineLevel="3" x14ac:dyDescent="0.3">
      <c r="A58" s="176" t="s">
        <v>154</v>
      </c>
      <c r="B58" s="175">
        <f t="shared" ref="B58:N58" si="8">SUM(B$59:B$59)</f>
        <v>9.5465000000000003E-4</v>
      </c>
      <c r="C58" s="175">
        <f t="shared" si="8"/>
        <v>9.5465000000000003E-4</v>
      </c>
      <c r="D58" s="175">
        <f t="shared" si="8"/>
        <v>9.5465000000000003E-4</v>
      </c>
      <c r="E58" s="175">
        <f t="shared" si="8"/>
        <v>9.5465000000000003E-4</v>
      </c>
      <c r="F58" s="175">
        <f t="shared" si="8"/>
        <v>9.5465000000000003E-4</v>
      </c>
      <c r="G58" s="175">
        <f t="shared" si="8"/>
        <v>9.5465000000000003E-4</v>
      </c>
      <c r="H58" s="175">
        <f t="shared" si="8"/>
        <v>9.5465000000000003E-4</v>
      </c>
      <c r="I58" s="175">
        <f t="shared" si="8"/>
        <v>9.5465000000000003E-4</v>
      </c>
      <c r="J58" s="175">
        <f t="shared" si="8"/>
        <v>9.5465000000000003E-4</v>
      </c>
      <c r="K58" s="175">
        <f t="shared" si="8"/>
        <v>9.5465000000000003E-4</v>
      </c>
      <c r="L58" s="175">
        <f t="shared" si="8"/>
        <v>9.5465000000000003E-4</v>
      </c>
      <c r="M58" s="175">
        <f t="shared" si="8"/>
        <v>9.5465000000000003E-4</v>
      </c>
      <c r="N58" s="175">
        <f t="shared" si="8"/>
        <v>9.5465000000000003E-4</v>
      </c>
      <c r="O58" s="10"/>
      <c r="P58" s="10"/>
      <c r="Q58" s="10"/>
    </row>
    <row r="59" spans="1:17" ht="13" outlineLevel="4" x14ac:dyDescent="0.3">
      <c r="A59" s="174" t="s">
        <v>155</v>
      </c>
      <c r="B59" s="175">
        <v>9.5465000000000003E-4</v>
      </c>
      <c r="C59" s="175">
        <v>9.5465000000000003E-4</v>
      </c>
      <c r="D59" s="175">
        <v>9.5465000000000003E-4</v>
      </c>
      <c r="E59" s="175">
        <v>9.5465000000000003E-4</v>
      </c>
      <c r="F59" s="175">
        <v>9.5465000000000003E-4</v>
      </c>
      <c r="G59" s="175">
        <v>9.5465000000000003E-4</v>
      </c>
      <c r="H59" s="175">
        <v>9.5465000000000003E-4</v>
      </c>
      <c r="I59" s="175">
        <v>9.5465000000000003E-4</v>
      </c>
      <c r="J59" s="175">
        <v>9.5465000000000003E-4</v>
      </c>
      <c r="K59" s="175">
        <v>9.5465000000000003E-4</v>
      </c>
      <c r="L59" s="175">
        <v>9.5465000000000003E-4</v>
      </c>
      <c r="M59" s="175">
        <v>9.5465000000000003E-4</v>
      </c>
      <c r="N59" s="175">
        <v>9.5465000000000003E-4</v>
      </c>
      <c r="O59" s="10"/>
      <c r="P59" s="10"/>
      <c r="Q59" s="10"/>
    </row>
    <row r="60" spans="1:17" ht="14.5" outlineLevel="1" x14ac:dyDescent="0.35">
      <c r="A60" s="179" t="s">
        <v>95</v>
      </c>
      <c r="B60" s="180">
        <f t="shared" ref="B60:N60" si="9">B$61+B$104</f>
        <v>3863.13915481087</v>
      </c>
      <c r="C60" s="180">
        <f t="shared" si="9"/>
        <v>3817.6463238563206</v>
      </c>
      <c r="D60" s="180">
        <f t="shared" si="9"/>
        <v>3824.6881928146995</v>
      </c>
      <c r="E60" s="180">
        <f t="shared" si="9"/>
        <v>4239.6564092665894</v>
      </c>
      <c r="F60" s="180">
        <f t="shared" si="9"/>
        <v>4299.0509042563299</v>
      </c>
      <c r="G60" s="180">
        <f t="shared" si="9"/>
        <v>4410.2506052991994</v>
      </c>
      <c r="H60" s="180">
        <f t="shared" si="9"/>
        <v>4456.4652547854403</v>
      </c>
      <c r="I60" s="180">
        <f t="shared" si="9"/>
        <v>4633.2119929079699</v>
      </c>
      <c r="J60" s="180">
        <f t="shared" si="9"/>
        <v>4622.3217071665704</v>
      </c>
      <c r="K60" s="180">
        <f t="shared" si="9"/>
        <v>4614.1371592595597</v>
      </c>
      <c r="L60" s="180">
        <f t="shared" si="9"/>
        <v>4585.5749234185705</v>
      </c>
      <c r="M60" s="180">
        <f t="shared" si="9"/>
        <v>4771.2244907696204</v>
      </c>
      <c r="N60" s="180">
        <f t="shared" si="9"/>
        <v>5048.4444334219515</v>
      </c>
      <c r="O60" s="10"/>
      <c r="P60" s="10"/>
      <c r="Q60" s="10"/>
    </row>
    <row r="61" spans="1:17" ht="14.5" outlineLevel="2" x14ac:dyDescent="0.35">
      <c r="A61" s="177" t="s">
        <v>1</v>
      </c>
      <c r="B61" s="178">
        <f t="shared" ref="B61:N61" si="10">B$62+B$72+B$83+B$85+B$92+B$100+B$102</f>
        <v>3600.3931568676699</v>
      </c>
      <c r="C61" s="178">
        <f t="shared" si="10"/>
        <v>3551.6978793312005</v>
      </c>
      <c r="D61" s="178">
        <f t="shared" si="10"/>
        <v>3568.8610702126493</v>
      </c>
      <c r="E61" s="178">
        <f t="shared" si="10"/>
        <v>3994.7584677527793</v>
      </c>
      <c r="F61" s="178">
        <f t="shared" si="10"/>
        <v>4056.0631019454299</v>
      </c>
      <c r="G61" s="178">
        <f t="shared" si="10"/>
        <v>4161.4610710117195</v>
      </c>
      <c r="H61" s="178">
        <f t="shared" si="10"/>
        <v>4207.56872677908</v>
      </c>
      <c r="I61" s="178">
        <f t="shared" si="10"/>
        <v>4378.7884878476398</v>
      </c>
      <c r="J61" s="178">
        <f t="shared" si="10"/>
        <v>4399.3942844968706</v>
      </c>
      <c r="K61" s="178">
        <f t="shared" si="10"/>
        <v>4394.21947063073</v>
      </c>
      <c r="L61" s="178">
        <f t="shared" si="10"/>
        <v>4372.5560741647205</v>
      </c>
      <c r="M61" s="178">
        <f t="shared" si="10"/>
        <v>4558.4484737939001</v>
      </c>
      <c r="N61" s="178">
        <f t="shared" si="10"/>
        <v>4829.2907880136017</v>
      </c>
      <c r="O61" s="10"/>
      <c r="P61" s="10"/>
      <c r="Q61" s="10"/>
    </row>
    <row r="62" spans="1:17" ht="13" outlineLevel="3" x14ac:dyDescent="0.3">
      <c r="A62" s="176" t="s">
        <v>96</v>
      </c>
      <c r="B62" s="175">
        <f t="shared" ref="B62:N62" si="11">SUM(B$63:B$71)</f>
        <v>2252.5797122582303</v>
      </c>
      <c r="C62" s="175">
        <f t="shared" si="11"/>
        <v>2217.7179727264302</v>
      </c>
      <c r="D62" s="175">
        <f t="shared" si="11"/>
        <v>2227.5529111010201</v>
      </c>
      <c r="E62" s="175">
        <f t="shared" si="11"/>
        <v>2554.5693694696997</v>
      </c>
      <c r="F62" s="175">
        <f t="shared" si="11"/>
        <v>2604.3797493532197</v>
      </c>
      <c r="G62" s="175">
        <f t="shared" si="11"/>
        <v>2677.2195717945101</v>
      </c>
      <c r="H62" s="175">
        <f t="shared" si="11"/>
        <v>2727.8843560546702</v>
      </c>
      <c r="I62" s="175">
        <f t="shared" si="11"/>
        <v>2877.0260684258601</v>
      </c>
      <c r="J62" s="175">
        <f t="shared" si="11"/>
        <v>3063.7204347703901</v>
      </c>
      <c r="K62" s="175">
        <f t="shared" si="11"/>
        <v>3057.8480453214697</v>
      </c>
      <c r="L62" s="175">
        <f t="shared" si="11"/>
        <v>3037.1917995201202</v>
      </c>
      <c r="M62" s="175">
        <f t="shared" si="11"/>
        <v>3214.5622385348406</v>
      </c>
      <c r="N62" s="175">
        <f t="shared" si="11"/>
        <v>3481.9848215421307</v>
      </c>
      <c r="O62" s="10"/>
      <c r="P62" s="10"/>
      <c r="Q62" s="10"/>
    </row>
    <row r="63" spans="1:17" ht="13" outlineLevel="4" x14ac:dyDescent="0.3">
      <c r="A63" s="174" t="s">
        <v>97</v>
      </c>
      <c r="B63" s="175">
        <v>0.25340819184000002</v>
      </c>
      <c r="C63" s="175">
        <v>0.24666351221999999</v>
      </c>
      <c r="D63" s="175">
        <v>0.24793812099000001</v>
      </c>
      <c r="E63" s="175">
        <v>0.24164522787000001</v>
      </c>
      <c r="F63" s="175">
        <v>0.39962747907000001</v>
      </c>
      <c r="G63" s="175">
        <v>0.41203931583999998</v>
      </c>
      <c r="H63" s="175">
        <v>0.40769108239000001</v>
      </c>
      <c r="I63" s="175">
        <v>0.41769089088</v>
      </c>
      <c r="J63" s="175">
        <v>0.42978770641000003</v>
      </c>
      <c r="K63" s="175">
        <v>0.40939091017000001</v>
      </c>
      <c r="L63" s="175">
        <v>0.39763945492000002</v>
      </c>
      <c r="M63" s="175">
        <v>0.39075838144000002</v>
      </c>
      <c r="N63" s="175">
        <v>0.48186126030999998</v>
      </c>
      <c r="O63" s="10"/>
      <c r="P63" s="10"/>
      <c r="Q63" s="10"/>
    </row>
    <row r="64" spans="1:17" ht="13" outlineLevel="4" x14ac:dyDescent="0.3">
      <c r="A64" s="174" t="s">
        <v>98</v>
      </c>
      <c r="B64" s="175">
        <v>0</v>
      </c>
      <c r="C64" s="175">
        <v>0</v>
      </c>
      <c r="D64" s="175">
        <v>0</v>
      </c>
      <c r="E64" s="175">
        <v>0</v>
      </c>
      <c r="F64" s="175">
        <v>0</v>
      </c>
      <c r="G64" s="175">
        <v>0</v>
      </c>
      <c r="H64" s="175">
        <v>0</v>
      </c>
      <c r="I64" s="175">
        <v>0</v>
      </c>
      <c r="J64" s="175">
        <v>3.1993149999999999</v>
      </c>
      <c r="K64" s="175">
        <v>3.6763279999999998</v>
      </c>
      <c r="L64" s="175">
        <v>3.5708000000000002</v>
      </c>
      <c r="M64" s="175">
        <v>5.0793159677700004</v>
      </c>
      <c r="N64" s="175">
        <v>5.08672720701</v>
      </c>
      <c r="O64" s="10"/>
      <c r="P64" s="10"/>
      <c r="Q64" s="10"/>
    </row>
    <row r="65" spans="1:17" ht="13" outlineLevel="4" x14ac:dyDescent="0.3">
      <c r="A65" s="174" t="s">
        <v>99</v>
      </c>
      <c r="B65" s="175">
        <v>7.3589337960099996</v>
      </c>
      <c r="C65" s="175">
        <v>7.1630693671500003</v>
      </c>
      <c r="D65" s="175">
        <v>7.2000838039100001</v>
      </c>
      <c r="E65" s="175">
        <v>7.3458738626000004</v>
      </c>
      <c r="F65" s="175">
        <v>6.9813972608499997</v>
      </c>
      <c r="G65" s="175">
        <v>6.0675658653299998</v>
      </c>
      <c r="H65" s="175">
        <v>5.8527493243800004</v>
      </c>
      <c r="I65" s="175">
        <v>5.9963050088100003</v>
      </c>
      <c r="J65" s="175">
        <v>6.1745186743899998</v>
      </c>
      <c r="K65" s="175">
        <v>6.16398545843</v>
      </c>
      <c r="L65" s="175">
        <v>5.58052794481</v>
      </c>
      <c r="M65" s="175">
        <v>4.3521206646600001</v>
      </c>
      <c r="N65" s="175">
        <v>4.2521896911699999</v>
      </c>
      <c r="O65" s="10"/>
      <c r="P65" s="10"/>
      <c r="Q65" s="10"/>
    </row>
    <row r="66" spans="1:17" ht="13" outlineLevel="4" x14ac:dyDescent="0.3">
      <c r="A66" s="174" t="s">
        <v>100</v>
      </c>
      <c r="B66" s="175">
        <v>115.07812630904</v>
      </c>
      <c r="C66" s="175">
        <v>112.0152218031</v>
      </c>
      <c r="D66" s="175">
        <v>112.12524442188</v>
      </c>
      <c r="E66" s="175">
        <v>114.99705868738</v>
      </c>
      <c r="F66" s="175">
        <v>115.26546710188001</v>
      </c>
      <c r="G66" s="175">
        <v>118.23262721198</v>
      </c>
      <c r="H66" s="175">
        <v>116.95879096132001</v>
      </c>
      <c r="I66" s="175">
        <v>119.82754517503</v>
      </c>
      <c r="J66" s="175">
        <v>122.77904939731</v>
      </c>
      <c r="K66" s="175">
        <v>123.38216719278</v>
      </c>
      <c r="L66" s="175">
        <v>120.08228840181999</v>
      </c>
      <c r="M66" s="175">
        <v>118.26775862124001</v>
      </c>
      <c r="N66" s="175">
        <v>124.11142454661</v>
      </c>
      <c r="O66" s="10"/>
      <c r="P66" s="10"/>
      <c r="Q66" s="10"/>
    </row>
    <row r="67" spans="1:17" ht="13" outlineLevel="4" x14ac:dyDescent="0.3">
      <c r="A67" s="174" t="s">
        <v>101</v>
      </c>
      <c r="B67" s="175">
        <v>1249.7759189999999</v>
      </c>
      <c r="C67" s="175">
        <v>1216.5120449999999</v>
      </c>
      <c r="D67" s="175">
        <v>1222.7982480000001</v>
      </c>
      <c r="E67" s="175">
        <v>1445.1383699999999</v>
      </c>
      <c r="F67" s="175">
        <v>1487.8269720000001</v>
      </c>
      <c r="G67" s="175">
        <v>1534.0366710000001</v>
      </c>
      <c r="H67" s="175">
        <v>1599.7884300000001</v>
      </c>
      <c r="I67" s="175">
        <v>1639.0278900000001</v>
      </c>
      <c r="J67" s="175">
        <v>1808.30278648276</v>
      </c>
      <c r="K67" s="175">
        <v>1818.1782336598601</v>
      </c>
      <c r="L67" s="175">
        <v>1765.9879196722</v>
      </c>
      <c r="M67" s="175">
        <v>1735.4278419494501</v>
      </c>
      <c r="N67" s="175">
        <v>1850.2552231591901</v>
      </c>
      <c r="O67" s="10"/>
      <c r="P67" s="10"/>
      <c r="Q67" s="10"/>
    </row>
    <row r="68" spans="1:17" ht="13" outlineLevel="4" x14ac:dyDescent="0.3">
      <c r="A68" s="174" t="s">
        <v>102</v>
      </c>
      <c r="B68" s="175">
        <v>39.914098248590001</v>
      </c>
      <c r="C68" s="175">
        <v>38.851749778929999</v>
      </c>
      <c r="D68" s="175">
        <v>39.056641947899998</v>
      </c>
      <c r="E68" s="175">
        <v>40.068788608479998</v>
      </c>
      <c r="F68" s="175">
        <v>40.191925868070001</v>
      </c>
      <c r="G68" s="175">
        <v>41.440227472719997</v>
      </c>
      <c r="H68" s="175">
        <v>41.002910507800003</v>
      </c>
      <c r="I68" s="175">
        <v>42.008626036549998</v>
      </c>
      <c r="J68" s="175">
        <v>43.225244859359996</v>
      </c>
      <c r="K68" s="175">
        <v>43.47674262796</v>
      </c>
      <c r="L68" s="175">
        <v>42.22923985205</v>
      </c>
      <c r="M68" s="175">
        <v>241.22013106074999</v>
      </c>
      <c r="N68" s="175">
        <v>243.40981073539001</v>
      </c>
      <c r="O68" s="10"/>
      <c r="P68" s="10"/>
      <c r="Q68" s="10"/>
    </row>
    <row r="69" spans="1:17" ht="13" outlineLevel="4" x14ac:dyDescent="0.3">
      <c r="A69" s="174" t="s">
        <v>103</v>
      </c>
      <c r="B69" s="175">
        <v>455.94914315625999</v>
      </c>
      <c r="C69" s="175">
        <v>463.07748568018002</v>
      </c>
      <c r="D69" s="175">
        <v>463.59309126050999</v>
      </c>
      <c r="E69" s="175">
        <v>538.64796394820996</v>
      </c>
      <c r="F69" s="175">
        <v>542.75798086040004</v>
      </c>
      <c r="G69" s="175">
        <v>555.68838130433005</v>
      </c>
      <c r="H69" s="175">
        <v>554.88630954447001</v>
      </c>
      <c r="I69" s="175">
        <v>560.67528700880996</v>
      </c>
      <c r="J69" s="175">
        <v>561.60006382216</v>
      </c>
      <c r="K69" s="175">
        <v>560.49132206960996</v>
      </c>
      <c r="L69" s="175">
        <v>559.04040240173003</v>
      </c>
      <c r="M69" s="175">
        <v>571.29206149959998</v>
      </c>
      <c r="N69" s="175">
        <v>679.98849281046</v>
      </c>
      <c r="O69" s="10"/>
      <c r="P69" s="10"/>
      <c r="Q69" s="10"/>
    </row>
    <row r="70" spans="1:17" ht="13" outlineLevel="4" x14ac:dyDescent="0.3">
      <c r="A70" s="174" t="s">
        <v>104</v>
      </c>
      <c r="B70" s="175">
        <v>379.91330392216003</v>
      </c>
      <c r="C70" s="175">
        <v>375.50740571282</v>
      </c>
      <c r="D70" s="175">
        <v>378.14912409018001</v>
      </c>
      <c r="E70" s="175">
        <v>403.60706530581001</v>
      </c>
      <c r="F70" s="175">
        <v>406.32428882629</v>
      </c>
      <c r="G70" s="175">
        <v>416.60499181606002</v>
      </c>
      <c r="H70" s="175">
        <v>404.40933732658999</v>
      </c>
      <c r="I70" s="175">
        <v>504.39578580952002</v>
      </c>
      <c r="J70" s="175">
        <v>513.30644428154994</v>
      </c>
      <c r="K70" s="175">
        <v>497.35215913794002</v>
      </c>
      <c r="L70" s="175">
        <v>535.50911588557994</v>
      </c>
      <c r="M70" s="175">
        <v>533.68084442305997</v>
      </c>
      <c r="N70" s="175">
        <v>569.59844089061005</v>
      </c>
      <c r="O70" s="10"/>
      <c r="P70" s="10"/>
      <c r="Q70" s="10"/>
    </row>
    <row r="71" spans="1:17" ht="13" outlineLevel="4" x14ac:dyDescent="0.3">
      <c r="A71" s="174" t="s">
        <v>105</v>
      </c>
      <c r="B71" s="175">
        <v>4.33677963433</v>
      </c>
      <c r="C71" s="175">
        <v>4.3443318720299997</v>
      </c>
      <c r="D71" s="175">
        <v>4.3825394556499999</v>
      </c>
      <c r="E71" s="175">
        <v>4.5226038293500004</v>
      </c>
      <c r="F71" s="175">
        <v>4.6320899566599998</v>
      </c>
      <c r="G71" s="175">
        <v>4.73706780825</v>
      </c>
      <c r="H71" s="175">
        <v>4.5781373077199996</v>
      </c>
      <c r="I71" s="175">
        <v>4.67693849626</v>
      </c>
      <c r="J71" s="175">
        <v>4.7032245464500004</v>
      </c>
      <c r="K71" s="175">
        <v>4.7177162647199999</v>
      </c>
      <c r="L71" s="175">
        <v>4.7938659070099998</v>
      </c>
      <c r="M71" s="175">
        <v>4.8514059668699998</v>
      </c>
      <c r="N71" s="175">
        <v>4.8006512413799998</v>
      </c>
      <c r="O71" s="10"/>
      <c r="P71" s="10"/>
      <c r="Q71" s="10"/>
    </row>
    <row r="72" spans="1:17" ht="13" outlineLevel="3" x14ac:dyDescent="0.3">
      <c r="A72" s="176" t="s">
        <v>106</v>
      </c>
      <c r="B72" s="175">
        <f t="shared" ref="B72:N72" si="12">SUM(B$73:B$82)</f>
        <v>239.95764692871998</v>
      </c>
      <c r="C72" s="175">
        <f t="shared" si="12"/>
        <v>234.34978612478</v>
      </c>
      <c r="D72" s="175">
        <f t="shared" si="12"/>
        <v>233.80292589438</v>
      </c>
      <c r="E72" s="175">
        <f t="shared" si="12"/>
        <v>297.79472413912004</v>
      </c>
      <c r="F72" s="175">
        <f t="shared" si="12"/>
        <v>298.51711193435005</v>
      </c>
      <c r="G72" s="175">
        <f t="shared" si="12"/>
        <v>304.82322493201002</v>
      </c>
      <c r="H72" s="175">
        <f t="shared" si="12"/>
        <v>303.61214186157002</v>
      </c>
      <c r="I72" s="175">
        <f t="shared" si="12"/>
        <v>307.50867614409998</v>
      </c>
      <c r="J72" s="175">
        <f t="shared" si="12"/>
        <v>318.51823714815998</v>
      </c>
      <c r="K72" s="175">
        <f t="shared" si="12"/>
        <v>318.72142896876005</v>
      </c>
      <c r="L72" s="175">
        <f t="shared" si="12"/>
        <v>320.25828870582995</v>
      </c>
      <c r="M72" s="175">
        <f t="shared" si="12"/>
        <v>324.55032920785993</v>
      </c>
      <c r="N72" s="175">
        <f t="shared" si="12"/>
        <v>320.72300290085008</v>
      </c>
      <c r="O72" s="10"/>
      <c r="P72" s="10"/>
      <c r="Q72" s="10"/>
    </row>
    <row r="73" spans="1:17" ht="13" outlineLevel="4" x14ac:dyDescent="0.3">
      <c r="A73" s="174" t="s">
        <v>107</v>
      </c>
      <c r="B73" s="175">
        <v>0.89084539944999996</v>
      </c>
      <c r="C73" s="175">
        <v>0.88181170095000005</v>
      </c>
      <c r="D73" s="175">
        <v>0.88668956744000005</v>
      </c>
      <c r="E73" s="175">
        <v>0.91061040421999995</v>
      </c>
      <c r="F73" s="175">
        <v>0.91334421414</v>
      </c>
      <c r="G73" s="175">
        <v>0.94572920568999996</v>
      </c>
      <c r="H73" s="175">
        <v>0.94146130216000001</v>
      </c>
      <c r="I73" s="175">
        <v>0.96825925341999997</v>
      </c>
      <c r="J73" s="175">
        <v>0.99763668660000004</v>
      </c>
      <c r="K73" s="175">
        <v>1.01275715409</v>
      </c>
      <c r="L73" s="175">
        <v>0.98158841399999996</v>
      </c>
      <c r="M73" s="175">
        <v>0.96798734221000005</v>
      </c>
      <c r="N73" s="175">
        <v>0.972743951</v>
      </c>
      <c r="O73" s="10"/>
      <c r="P73" s="10"/>
      <c r="Q73" s="10"/>
    </row>
    <row r="74" spans="1:17" ht="13" outlineLevel="4" x14ac:dyDescent="0.3">
      <c r="A74" s="174" t="s">
        <v>108</v>
      </c>
      <c r="B74" s="175">
        <v>8.4415800000000001</v>
      </c>
      <c r="C74" s="175">
        <v>8.2169000000000008</v>
      </c>
      <c r="D74" s="175">
        <v>8.2593599999999991</v>
      </c>
      <c r="E74" s="175">
        <v>8.4733999999999998</v>
      </c>
      <c r="F74" s="175">
        <v>8.4994399999999999</v>
      </c>
      <c r="G74" s="175">
        <v>8.76342</v>
      </c>
      <c r="H74" s="175">
        <v>8.6709399999999999</v>
      </c>
      <c r="I74" s="175">
        <v>8.8836200000000005</v>
      </c>
      <c r="J74" s="175">
        <v>9.1409000000000002</v>
      </c>
      <c r="K74" s="175">
        <v>9.1908200000000004</v>
      </c>
      <c r="L74" s="175">
        <v>8.9269999999999996</v>
      </c>
      <c r="M74" s="175">
        <v>8.7725200000000001</v>
      </c>
      <c r="N74" s="175">
        <v>8.7853200000000005</v>
      </c>
      <c r="O74" s="10"/>
      <c r="P74" s="10"/>
      <c r="Q74" s="10"/>
    </row>
    <row r="75" spans="1:17" ht="13" outlineLevel="4" x14ac:dyDescent="0.3">
      <c r="A75" s="174" t="s">
        <v>109</v>
      </c>
      <c r="B75" s="175">
        <v>139.85243126616001</v>
      </c>
      <c r="C75" s="175">
        <v>137.61768721458</v>
      </c>
      <c r="D75" s="175">
        <v>137.18955454834</v>
      </c>
      <c r="E75" s="175">
        <v>198.91362289788</v>
      </c>
      <c r="F75" s="175">
        <v>200.09456749597001</v>
      </c>
      <c r="G75" s="175">
        <v>203.55292376752001</v>
      </c>
      <c r="H75" s="175">
        <v>203.89777528073</v>
      </c>
      <c r="I75" s="175">
        <v>204.17346600575999</v>
      </c>
      <c r="J75" s="175">
        <v>210.51558712175</v>
      </c>
      <c r="K75" s="175">
        <v>210.17861771522999</v>
      </c>
      <c r="L75" s="175">
        <v>216.18119721623</v>
      </c>
      <c r="M75" s="175">
        <v>216.71730831759999</v>
      </c>
      <c r="N75" s="175">
        <v>213.75542670784</v>
      </c>
      <c r="O75" s="10"/>
      <c r="P75" s="10"/>
      <c r="Q75" s="10"/>
    </row>
    <row r="76" spans="1:17" ht="13" outlineLevel="4" x14ac:dyDescent="0.3">
      <c r="A76" s="174" t="s">
        <v>110</v>
      </c>
      <c r="B76" s="175">
        <v>8.4415800000000001</v>
      </c>
      <c r="C76" s="175">
        <v>8.2169000000000008</v>
      </c>
      <c r="D76" s="175">
        <v>8.2593599999999991</v>
      </c>
      <c r="E76" s="175">
        <v>8.4733999999999998</v>
      </c>
      <c r="F76" s="175">
        <v>8.4994399999999999</v>
      </c>
      <c r="G76" s="175">
        <v>8.76342</v>
      </c>
      <c r="H76" s="175">
        <v>8.6709399999999999</v>
      </c>
      <c r="I76" s="175">
        <v>8.8836200000000005</v>
      </c>
      <c r="J76" s="175">
        <v>9.1409000000000002</v>
      </c>
      <c r="K76" s="175">
        <v>9.1908200000000004</v>
      </c>
      <c r="L76" s="175">
        <v>8.9269999999999996</v>
      </c>
      <c r="M76" s="175">
        <v>8.7725200000000001</v>
      </c>
      <c r="N76" s="175">
        <v>8.7853200000000005</v>
      </c>
      <c r="O76" s="10"/>
      <c r="P76" s="10"/>
      <c r="Q76" s="10"/>
    </row>
    <row r="77" spans="1:17" ht="13" outlineLevel="4" x14ac:dyDescent="0.3">
      <c r="A77" s="174" t="s">
        <v>111</v>
      </c>
      <c r="B77" s="175">
        <v>23.719138560360001</v>
      </c>
      <c r="C77" s="175">
        <v>23.087833040340001</v>
      </c>
      <c r="D77" s="175">
        <v>23.207137083340001</v>
      </c>
      <c r="E77" s="175">
        <v>23.81194617653</v>
      </c>
      <c r="F77" s="175">
        <v>23.88512377684</v>
      </c>
      <c r="G77" s="175">
        <v>24.62696029484</v>
      </c>
      <c r="H77" s="175">
        <v>24.36707302616</v>
      </c>
      <c r="I77" s="175">
        <v>24.96474629934</v>
      </c>
      <c r="J77" s="175">
        <v>25.695097825449999</v>
      </c>
      <c r="K77" s="175">
        <v>25.835423097949999</v>
      </c>
      <c r="L77" s="175">
        <v>25.093824271990002</v>
      </c>
      <c r="M77" s="175">
        <v>24.65958052005</v>
      </c>
      <c r="N77" s="175">
        <v>24.695561359159999</v>
      </c>
      <c r="O77" s="10"/>
      <c r="P77" s="10"/>
      <c r="Q77" s="10"/>
    </row>
    <row r="78" spans="1:17" ht="13" outlineLevel="4" x14ac:dyDescent="0.3">
      <c r="A78" s="174" t="s">
        <v>112</v>
      </c>
      <c r="B78" s="175">
        <v>3.6823600697400001</v>
      </c>
      <c r="C78" s="175">
        <v>3.58435085103</v>
      </c>
      <c r="D78" s="175">
        <v>3.6104009927899998</v>
      </c>
      <c r="E78" s="175">
        <v>3.7077842190400001</v>
      </c>
      <c r="F78" s="175">
        <v>3.7191787833299998</v>
      </c>
      <c r="G78" s="175">
        <v>4.0651487357200002</v>
      </c>
      <c r="H78" s="175">
        <v>4.0222493933300001</v>
      </c>
      <c r="I78" s="175">
        <v>4.3628039657100004</v>
      </c>
      <c r="J78" s="175">
        <v>4.5209458001799998</v>
      </c>
      <c r="K78" s="175">
        <v>4.5406081365500004</v>
      </c>
      <c r="L78" s="175">
        <v>4.4133621052900001</v>
      </c>
      <c r="M78" s="175">
        <v>4.3369897318100001</v>
      </c>
      <c r="N78" s="175">
        <v>4.3628869331200004</v>
      </c>
      <c r="O78" s="10"/>
      <c r="P78" s="10"/>
      <c r="Q78" s="10"/>
    </row>
    <row r="79" spans="1:17" ht="13" outlineLevel="4" x14ac:dyDescent="0.3">
      <c r="A79" s="174" t="s">
        <v>113</v>
      </c>
      <c r="B79" s="175">
        <v>0</v>
      </c>
      <c r="C79" s="175">
        <v>0</v>
      </c>
      <c r="D79" s="175">
        <v>0</v>
      </c>
      <c r="E79" s="175">
        <v>0</v>
      </c>
      <c r="F79" s="175">
        <v>0</v>
      </c>
      <c r="G79" s="175">
        <v>0</v>
      </c>
      <c r="H79" s="175">
        <v>0</v>
      </c>
      <c r="I79" s="175">
        <v>0</v>
      </c>
      <c r="J79" s="175">
        <v>0</v>
      </c>
      <c r="K79" s="175">
        <v>0</v>
      </c>
      <c r="L79" s="175">
        <v>0</v>
      </c>
      <c r="M79" s="175">
        <v>4.1595599999999999</v>
      </c>
      <c r="N79" s="175">
        <v>4.2039</v>
      </c>
      <c r="O79" s="10"/>
      <c r="P79" s="10"/>
      <c r="Q79" s="10"/>
    </row>
    <row r="80" spans="1:17" ht="13" outlineLevel="4" x14ac:dyDescent="0.3">
      <c r="A80" s="174" t="s">
        <v>114</v>
      </c>
      <c r="B80" s="175">
        <v>1.7948754040000001E-2</v>
      </c>
      <c r="C80" s="175">
        <v>1.7897812669999999E-2</v>
      </c>
      <c r="D80" s="175">
        <v>1.8055220569999999E-2</v>
      </c>
      <c r="E80" s="175">
        <v>1.8534249070000001E-2</v>
      </c>
      <c r="F80" s="175">
        <v>1.8745669949999998E-2</v>
      </c>
      <c r="G80" s="175">
        <v>1.9138504510000001E-2</v>
      </c>
      <c r="H80" s="175">
        <v>1.915613079E-2</v>
      </c>
      <c r="I80" s="175">
        <v>1.9388485840000001E-2</v>
      </c>
      <c r="J80" s="175">
        <v>1.9464567110000001E-2</v>
      </c>
      <c r="K80" s="175">
        <v>1.9453367570000001E-2</v>
      </c>
      <c r="L80" s="175">
        <v>1.9506577210000001E-2</v>
      </c>
      <c r="M80" s="175">
        <v>1.9656187960000002E-2</v>
      </c>
      <c r="N80" s="175">
        <v>2.1545629019999998E-2</v>
      </c>
      <c r="O80" s="10"/>
      <c r="P80" s="10"/>
      <c r="Q80" s="10"/>
    </row>
    <row r="81" spans="1:17" ht="13" outlineLevel="4" x14ac:dyDescent="0.3">
      <c r="A81" s="174" t="s">
        <v>115</v>
      </c>
      <c r="B81" s="175">
        <v>18.97010688824</v>
      </c>
      <c r="C81" s="175">
        <v>18.465200980150001</v>
      </c>
      <c r="D81" s="175">
        <v>18.560618039320001</v>
      </c>
      <c r="E81" s="175">
        <v>18.8921324491</v>
      </c>
      <c r="F81" s="175">
        <v>19.0301760358</v>
      </c>
      <c r="G81" s="175">
        <v>19.621225077839998</v>
      </c>
      <c r="H81" s="175">
        <v>19.345499141409999</v>
      </c>
      <c r="I81" s="175">
        <v>19.919279530880001</v>
      </c>
      <c r="J81" s="175">
        <v>20.496165106549999</v>
      </c>
      <c r="K81" s="175">
        <v>20.39595794765</v>
      </c>
      <c r="L81" s="175">
        <v>19.81049749628</v>
      </c>
      <c r="M81" s="175">
        <v>19.59172034665</v>
      </c>
      <c r="N81" s="175">
        <v>19.550736922790001</v>
      </c>
      <c r="O81" s="10"/>
      <c r="P81" s="10"/>
      <c r="Q81" s="10"/>
    </row>
    <row r="82" spans="1:17" ht="13" outlineLevel="4" x14ac:dyDescent="0.3">
      <c r="A82" s="174" t="s">
        <v>116</v>
      </c>
      <c r="B82" s="175">
        <v>35.941655990729998</v>
      </c>
      <c r="C82" s="175">
        <v>34.261204525060002</v>
      </c>
      <c r="D82" s="175">
        <v>33.811750442579999</v>
      </c>
      <c r="E82" s="175">
        <v>34.59329374328</v>
      </c>
      <c r="F82" s="175">
        <v>33.857095958320002</v>
      </c>
      <c r="G82" s="175">
        <v>34.465259345889997</v>
      </c>
      <c r="H82" s="175">
        <v>33.67704758699</v>
      </c>
      <c r="I82" s="175">
        <v>35.333492603149999</v>
      </c>
      <c r="J82" s="175">
        <v>37.99154004052</v>
      </c>
      <c r="K82" s="175">
        <v>38.356971549720001</v>
      </c>
      <c r="L82" s="175">
        <v>35.904312624829998</v>
      </c>
      <c r="M82" s="175">
        <v>36.552486761579999</v>
      </c>
      <c r="N82" s="175">
        <v>35.589561397920001</v>
      </c>
      <c r="O82" s="10"/>
      <c r="P82" s="10"/>
      <c r="Q82" s="10"/>
    </row>
    <row r="83" spans="1:17" ht="13" outlineLevel="3" x14ac:dyDescent="0.3">
      <c r="A83" s="176" t="s">
        <v>117</v>
      </c>
      <c r="B83" s="175">
        <f t="shared" ref="B83:N83" si="13">SUM(B$84:B$84)</f>
        <v>23.011859616860001</v>
      </c>
      <c r="C83" s="175">
        <f t="shared" si="13"/>
        <v>22.946548355160001</v>
      </c>
      <c r="D83" s="175">
        <f t="shared" si="13"/>
        <v>23.148358942120002</v>
      </c>
      <c r="E83" s="175">
        <f t="shared" si="13"/>
        <v>23.762515027399999</v>
      </c>
      <c r="F83" s="175">
        <f t="shared" si="13"/>
        <v>24.033574939169998</v>
      </c>
      <c r="G83" s="175">
        <f t="shared" si="13"/>
        <v>24.53722291559</v>
      </c>
      <c r="H83" s="175">
        <f t="shared" si="13"/>
        <v>24.559821339159999</v>
      </c>
      <c r="I83" s="175">
        <f t="shared" si="13"/>
        <v>24.85772066553</v>
      </c>
      <c r="J83" s="175">
        <f t="shared" si="13"/>
        <v>24.95526345899</v>
      </c>
      <c r="K83" s="175">
        <f t="shared" si="13"/>
        <v>24.940904675100001</v>
      </c>
      <c r="L83" s="175">
        <f t="shared" si="13"/>
        <v>25.009124044939998</v>
      </c>
      <c r="M83" s="175">
        <f t="shared" si="13"/>
        <v>25.20093801022</v>
      </c>
      <c r="N83" s="175">
        <f t="shared" si="13"/>
        <v>25.469574498539998</v>
      </c>
      <c r="O83" s="10"/>
      <c r="P83" s="10"/>
      <c r="Q83" s="10"/>
    </row>
    <row r="84" spans="1:17" ht="13" outlineLevel="4" x14ac:dyDescent="0.3">
      <c r="A84" s="174" t="s">
        <v>118</v>
      </c>
      <c r="B84" s="175">
        <v>23.011859616860001</v>
      </c>
      <c r="C84" s="175">
        <v>22.946548355160001</v>
      </c>
      <c r="D84" s="175">
        <v>23.148358942120002</v>
      </c>
      <c r="E84" s="175">
        <v>23.762515027399999</v>
      </c>
      <c r="F84" s="175">
        <v>24.033574939169998</v>
      </c>
      <c r="G84" s="175">
        <v>24.53722291559</v>
      </c>
      <c r="H84" s="175">
        <v>24.559821339159999</v>
      </c>
      <c r="I84" s="175">
        <v>24.85772066553</v>
      </c>
      <c r="J84" s="175">
        <v>24.95526345899</v>
      </c>
      <c r="K84" s="175">
        <v>24.940904675100001</v>
      </c>
      <c r="L84" s="175">
        <v>25.009124044939998</v>
      </c>
      <c r="M84" s="175">
        <v>25.20093801022</v>
      </c>
      <c r="N84" s="175">
        <v>25.469574498539998</v>
      </c>
      <c r="O84" s="10"/>
      <c r="P84" s="10"/>
      <c r="Q84" s="10"/>
    </row>
    <row r="85" spans="1:17" ht="13" outlineLevel="3" x14ac:dyDescent="0.3">
      <c r="A85" s="176" t="s">
        <v>119</v>
      </c>
      <c r="B85" s="175">
        <f t="shared" ref="B85:N85" si="14">SUM(B$86:B$91)</f>
        <v>59.488384682030002</v>
      </c>
      <c r="C85" s="175">
        <f t="shared" si="14"/>
        <v>57.90504953976</v>
      </c>
      <c r="D85" s="175">
        <f t="shared" si="14"/>
        <v>57.233460656280002</v>
      </c>
      <c r="E85" s="175">
        <f t="shared" si="14"/>
        <v>64.749997945169994</v>
      </c>
      <c r="F85" s="175">
        <f t="shared" si="14"/>
        <v>64.78977742427</v>
      </c>
      <c r="G85" s="175">
        <f t="shared" si="14"/>
        <v>66.550707184269996</v>
      </c>
      <c r="H85" s="175">
        <f t="shared" si="14"/>
        <v>64.359368147739985</v>
      </c>
      <c r="I85" s="175">
        <f t="shared" si="14"/>
        <v>66.153445489519996</v>
      </c>
      <c r="J85" s="175">
        <f t="shared" si="14"/>
        <v>66.685659693809995</v>
      </c>
      <c r="K85" s="175">
        <f t="shared" si="14"/>
        <v>66.457991122820005</v>
      </c>
      <c r="L85" s="175">
        <f t="shared" si="14"/>
        <v>64.535191997769999</v>
      </c>
      <c r="M85" s="175">
        <f t="shared" si="14"/>
        <v>63.397428784300004</v>
      </c>
      <c r="N85" s="175">
        <f t="shared" si="14"/>
        <v>62.159684084680002</v>
      </c>
      <c r="O85" s="10"/>
      <c r="P85" s="10"/>
      <c r="Q85" s="10"/>
    </row>
    <row r="86" spans="1:17" ht="13" outlineLevel="4" x14ac:dyDescent="0.3">
      <c r="A86" s="174" t="s">
        <v>120</v>
      </c>
      <c r="B86" s="175">
        <v>27.435134999999999</v>
      </c>
      <c r="C86" s="175">
        <v>26.704924999999999</v>
      </c>
      <c r="D86" s="175">
        <v>26.842919999999999</v>
      </c>
      <c r="E86" s="175">
        <v>27.538550000000001</v>
      </c>
      <c r="F86" s="175">
        <v>27.623180000000001</v>
      </c>
      <c r="G86" s="175">
        <v>28.481114999999999</v>
      </c>
      <c r="H86" s="175">
        <v>28.180554999999998</v>
      </c>
      <c r="I86" s="175">
        <v>28.871765</v>
      </c>
      <c r="J86" s="175">
        <v>29.707924999999999</v>
      </c>
      <c r="K86" s="175">
        <v>29.870165</v>
      </c>
      <c r="L86" s="175">
        <v>29.01275</v>
      </c>
      <c r="M86" s="175">
        <v>28.51069</v>
      </c>
      <c r="N86" s="175">
        <v>28.552289999999999</v>
      </c>
      <c r="O86" s="10"/>
      <c r="P86" s="10"/>
      <c r="Q86" s="10"/>
    </row>
    <row r="87" spans="1:17" ht="13" outlineLevel="4" x14ac:dyDescent="0.3">
      <c r="A87" s="174" t="s">
        <v>121</v>
      </c>
      <c r="B87" s="175">
        <v>2.15805616E-3</v>
      </c>
      <c r="C87" s="175">
        <v>2.1006176200000001E-3</v>
      </c>
      <c r="D87" s="175">
        <v>2.11147235E-3</v>
      </c>
      <c r="E87" s="175">
        <v>2.1661908199999999E-3</v>
      </c>
      <c r="F87" s="175">
        <v>2.17284784E-3</v>
      </c>
      <c r="G87" s="175">
        <v>2.24033327E-3</v>
      </c>
      <c r="H87" s="175">
        <v>2.2166911300000001E-3</v>
      </c>
      <c r="I87" s="175">
        <v>2.2710619199999998E-3</v>
      </c>
      <c r="J87" s="175">
        <v>2.33683452E-3</v>
      </c>
      <c r="K87" s="175">
        <v>2.3495963700000001E-3</v>
      </c>
      <c r="L87" s="175">
        <v>2.2821518400000002E-3</v>
      </c>
      <c r="M87" s="175">
        <v>2.2426596500000002E-3</v>
      </c>
      <c r="N87" s="175">
        <v>2.2459319199999998E-3</v>
      </c>
      <c r="O87" s="10"/>
      <c r="P87" s="10"/>
      <c r="Q87" s="10"/>
    </row>
    <row r="88" spans="1:17" ht="13" outlineLevel="4" x14ac:dyDescent="0.3">
      <c r="A88" s="174" t="s">
        <v>122</v>
      </c>
      <c r="B88" s="175">
        <v>0.16403021542999999</v>
      </c>
      <c r="C88" s="175">
        <v>0.15966440845999999</v>
      </c>
      <c r="D88" s="175">
        <v>0.16048945814999999</v>
      </c>
      <c r="E88" s="175">
        <v>0.16464851691999999</v>
      </c>
      <c r="F88" s="175">
        <v>0.16515450594</v>
      </c>
      <c r="G88" s="175">
        <v>0.17028395994000001</v>
      </c>
      <c r="H88" s="175">
        <v>0.16848696052000001</v>
      </c>
      <c r="I88" s="175">
        <v>0.17261959283</v>
      </c>
      <c r="J88" s="175">
        <v>0.17761885763999999</v>
      </c>
      <c r="K88" s="175">
        <v>0.17858886424000001</v>
      </c>
      <c r="L88" s="175">
        <v>0.17346251924</v>
      </c>
      <c r="M88" s="175">
        <v>0.17046078406000001</v>
      </c>
      <c r="N88" s="175">
        <v>0.28202475074</v>
      </c>
      <c r="O88" s="10"/>
      <c r="P88" s="10"/>
      <c r="Q88" s="10"/>
    </row>
    <row r="89" spans="1:17" ht="13" outlineLevel="4" x14ac:dyDescent="0.3">
      <c r="A89" s="174" t="s">
        <v>123</v>
      </c>
      <c r="B89" s="175">
        <v>10.288715116660001</v>
      </c>
      <c r="C89" s="175">
        <v>10.01487200763</v>
      </c>
      <c r="D89" s="175">
        <v>10.090534182760001</v>
      </c>
      <c r="E89" s="175">
        <v>9.8132720423100004</v>
      </c>
      <c r="F89" s="175">
        <v>9.6846893571100008</v>
      </c>
      <c r="G89" s="175">
        <v>9.7051388277800008</v>
      </c>
      <c r="H89" s="175">
        <v>9.1422630231399999</v>
      </c>
      <c r="I89" s="175">
        <v>9.5552341876900009</v>
      </c>
      <c r="J89" s="175">
        <v>9.5395466816300001</v>
      </c>
      <c r="K89" s="175">
        <v>8.9299868596500005</v>
      </c>
      <c r="L89" s="175">
        <v>8.6736540043300003</v>
      </c>
      <c r="M89" s="175">
        <v>8.4781325743299991</v>
      </c>
      <c r="N89" s="175">
        <v>8.1087173963799994</v>
      </c>
      <c r="O89" s="10"/>
      <c r="P89" s="10"/>
      <c r="Q89" s="10"/>
    </row>
    <row r="90" spans="1:17" ht="13" outlineLevel="4" x14ac:dyDescent="0.3">
      <c r="A90" s="174" t="s">
        <v>124</v>
      </c>
      <c r="B90" s="175">
        <v>21.598346293780001</v>
      </c>
      <c r="C90" s="175">
        <v>21.023487506049999</v>
      </c>
      <c r="D90" s="175">
        <v>20.137405543020002</v>
      </c>
      <c r="E90" s="175">
        <v>20.65926320298</v>
      </c>
      <c r="F90" s="175">
        <v>20.72275214647</v>
      </c>
      <c r="G90" s="175">
        <v>21.366370092090001</v>
      </c>
      <c r="H90" s="175">
        <v>20.07109000526</v>
      </c>
      <c r="I90" s="175">
        <v>20.56339181133</v>
      </c>
      <c r="J90" s="175">
        <v>20.058044364200001</v>
      </c>
      <c r="K90" s="175">
        <v>20.167584734910001</v>
      </c>
      <c r="L90" s="175">
        <v>19.58867967478</v>
      </c>
      <c r="M90" s="175">
        <v>19.24970138015</v>
      </c>
      <c r="N90" s="175">
        <v>18.193875010589998</v>
      </c>
      <c r="O90" s="10"/>
      <c r="P90" s="10"/>
      <c r="Q90" s="10"/>
    </row>
    <row r="91" spans="1:17" ht="13" outlineLevel="4" x14ac:dyDescent="0.3">
      <c r="A91" s="174" t="s">
        <v>125</v>
      </c>
      <c r="B91" s="175">
        <v>0</v>
      </c>
      <c r="C91" s="175">
        <v>0</v>
      </c>
      <c r="D91" s="175">
        <v>0</v>
      </c>
      <c r="E91" s="175">
        <v>6.5720979921399998</v>
      </c>
      <c r="F91" s="175">
        <v>6.5918285669100003</v>
      </c>
      <c r="G91" s="175">
        <v>6.8255589711900004</v>
      </c>
      <c r="H91" s="175">
        <v>6.7947564676900001</v>
      </c>
      <c r="I91" s="175">
        <v>6.98816383575</v>
      </c>
      <c r="J91" s="175">
        <v>7.2001879558199997</v>
      </c>
      <c r="K91" s="175">
        <v>7.3093160676500002</v>
      </c>
      <c r="L91" s="175">
        <v>7.08436364758</v>
      </c>
      <c r="M91" s="175">
        <v>6.9862013861100003</v>
      </c>
      <c r="N91" s="175">
        <v>7.0205309950499997</v>
      </c>
      <c r="O91" s="10"/>
      <c r="P91" s="10"/>
      <c r="Q91" s="10"/>
    </row>
    <row r="92" spans="1:17" ht="13" outlineLevel="3" x14ac:dyDescent="0.3">
      <c r="A92" s="176" t="s">
        <v>126</v>
      </c>
      <c r="B92" s="175">
        <f t="shared" ref="B92:N92" si="15">SUM(B$93:B$99)</f>
        <v>750.56792791199996</v>
      </c>
      <c r="C92" s="175">
        <f t="shared" si="15"/>
        <v>746.179581998</v>
      </c>
      <c r="D92" s="175">
        <f t="shared" si="15"/>
        <v>752.40677285099991</v>
      </c>
      <c r="E92" s="175">
        <f t="shared" si="15"/>
        <v>772.31182348199991</v>
      </c>
      <c r="F92" s="175">
        <f t="shared" si="15"/>
        <v>780.32717934399989</v>
      </c>
      <c r="G92" s="175">
        <f t="shared" si="15"/>
        <v>797.64571606300001</v>
      </c>
      <c r="H92" s="175">
        <f t="shared" si="15"/>
        <v>797.24913756199999</v>
      </c>
      <c r="I92" s="175">
        <f t="shared" si="15"/>
        <v>808.12883933300009</v>
      </c>
      <c r="J92" s="175">
        <f t="shared" si="15"/>
        <v>626.87893172647</v>
      </c>
      <c r="K92" s="175">
        <f t="shared" si="15"/>
        <v>626.51823751399002</v>
      </c>
      <c r="L92" s="175">
        <f t="shared" si="15"/>
        <v>628.23191550244997</v>
      </c>
      <c r="M92" s="175">
        <f t="shared" si="15"/>
        <v>633.05030316803004</v>
      </c>
      <c r="N92" s="175">
        <f t="shared" si="15"/>
        <v>639.79848096628996</v>
      </c>
      <c r="O92" s="10"/>
      <c r="P92" s="10"/>
      <c r="Q92" s="10"/>
    </row>
    <row r="93" spans="1:17" ht="13" outlineLevel="4" x14ac:dyDescent="0.3">
      <c r="A93" s="174" t="s">
        <v>127</v>
      </c>
      <c r="B93" s="175">
        <v>287.17087291199999</v>
      </c>
      <c r="C93" s="175">
        <v>286.35583699799997</v>
      </c>
      <c r="D93" s="175">
        <v>288.87428285099998</v>
      </c>
      <c r="E93" s="175">
        <v>296.53849348199998</v>
      </c>
      <c r="F93" s="175">
        <v>299.92111934399998</v>
      </c>
      <c r="G93" s="175">
        <v>306.20627106299997</v>
      </c>
      <c r="H93" s="175">
        <v>306.48828256199999</v>
      </c>
      <c r="I93" s="175">
        <v>310.20584433300002</v>
      </c>
      <c r="J93" s="175">
        <v>0</v>
      </c>
      <c r="K93" s="175">
        <v>0</v>
      </c>
      <c r="L93" s="175">
        <v>0</v>
      </c>
      <c r="M93" s="175">
        <v>0</v>
      </c>
      <c r="N93" s="175">
        <v>0</v>
      </c>
      <c r="O93" s="10"/>
      <c r="P93" s="10"/>
      <c r="Q93" s="10"/>
    </row>
    <row r="94" spans="1:17" ht="13" outlineLevel="4" x14ac:dyDescent="0.3">
      <c r="A94" s="174" t="s">
        <v>129</v>
      </c>
      <c r="B94" s="175">
        <v>113.9472</v>
      </c>
      <c r="C94" s="175">
        <v>113.6238</v>
      </c>
      <c r="D94" s="175">
        <v>114.62309999999999</v>
      </c>
      <c r="E94" s="175">
        <v>117.66419999999999</v>
      </c>
      <c r="F94" s="175">
        <v>119.0064</v>
      </c>
      <c r="G94" s="175">
        <v>121.5003</v>
      </c>
      <c r="H94" s="175">
        <v>121.6122</v>
      </c>
      <c r="I94" s="175">
        <v>123.0873</v>
      </c>
      <c r="J94" s="175">
        <v>0</v>
      </c>
      <c r="K94" s="175">
        <v>0</v>
      </c>
      <c r="L94" s="175">
        <v>0</v>
      </c>
      <c r="M94" s="175">
        <v>0</v>
      </c>
      <c r="N94" s="175">
        <v>0</v>
      </c>
      <c r="O94" s="10"/>
      <c r="P94" s="10"/>
      <c r="Q94" s="10"/>
    </row>
    <row r="95" spans="1:17" ht="13" outlineLevel="4" x14ac:dyDescent="0.3">
      <c r="A95" s="174" t="s">
        <v>130</v>
      </c>
      <c r="B95" s="175">
        <v>89.25864</v>
      </c>
      <c r="C95" s="175">
        <v>89.005309999999994</v>
      </c>
      <c r="D95" s="175">
        <v>89.788094999999998</v>
      </c>
      <c r="E95" s="175">
        <v>92.170289999999994</v>
      </c>
      <c r="F95" s="175">
        <v>93.221680000000006</v>
      </c>
      <c r="G95" s="175">
        <v>95.175235000000001</v>
      </c>
      <c r="H95" s="175">
        <v>95.262889999999999</v>
      </c>
      <c r="I95" s="175">
        <v>96.418385000000001</v>
      </c>
      <c r="J95" s="175">
        <v>0</v>
      </c>
      <c r="K95" s="175">
        <v>0</v>
      </c>
      <c r="L95" s="175">
        <v>0</v>
      </c>
      <c r="M95" s="175">
        <v>0</v>
      </c>
      <c r="N95" s="175">
        <v>0</v>
      </c>
      <c r="O95" s="10"/>
      <c r="P95" s="10"/>
      <c r="Q95" s="10"/>
    </row>
    <row r="96" spans="1:17" ht="13" outlineLevel="4" x14ac:dyDescent="0.3">
      <c r="A96" s="174" t="s">
        <v>131</v>
      </c>
      <c r="B96" s="175">
        <v>42.207900000000002</v>
      </c>
      <c r="C96" s="175">
        <v>41.084499999999998</v>
      </c>
      <c r="D96" s="175">
        <v>41.296799999999998</v>
      </c>
      <c r="E96" s="175">
        <v>42.366999999999997</v>
      </c>
      <c r="F96" s="175">
        <v>42.497199999999999</v>
      </c>
      <c r="G96" s="175">
        <v>43.817100000000003</v>
      </c>
      <c r="H96" s="175">
        <v>43.354700000000001</v>
      </c>
      <c r="I96" s="175">
        <v>44.418100000000003</v>
      </c>
      <c r="J96" s="175">
        <v>0</v>
      </c>
      <c r="K96" s="175">
        <v>0</v>
      </c>
      <c r="L96" s="175">
        <v>0</v>
      </c>
      <c r="M96" s="175">
        <v>0</v>
      </c>
      <c r="N96" s="175">
        <v>0</v>
      </c>
      <c r="O96" s="10"/>
      <c r="P96" s="10"/>
      <c r="Q96" s="10"/>
    </row>
    <row r="97" spans="1:17" ht="13" outlineLevel="4" x14ac:dyDescent="0.3">
      <c r="A97" s="174" t="s">
        <v>132</v>
      </c>
      <c r="B97" s="175">
        <v>151.514115</v>
      </c>
      <c r="C97" s="175">
        <v>149.82958500000001</v>
      </c>
      <c r="D97" s="175">
        <v>150.96101999999999</v>
      </c>
      <c r="E97" s="175">
        <v>154.93439000000001</v>
      </c>
      <c r="F97" s="175">
        <v>156.26038</v>
      </c>
      <c r="G97" s="175">
        <v>160.07163499999999</v>
      </c>
      <c r="H97" s="175">
        <v>159.59061500000001</v>
      </c>
      <c r="I97" s="175">
        <v>162.198285</v>
      </c>
      <c r="J97" s="175">
        <v>0</v>
      </c>
      <c r="K97" s="175">
        <v>0</v>
      </c>
      <c r="L97" s="175">
        <v>0</v>
      </c>
      <c r="M97" s="175">
        <v>0</v>
      </c>
      <c r="N97" s="175">
        <v>0</v>
      </c>
      <c r="O97" s="10"/>
      <c r="P97" s="10"/>
      <c r="Q97" s="10"/>
    </row>
    <row r="98" spans="1:17" ht="13" outlineLevel="4" x14ac:dyDescent="0.3">
      <c r="A98" s="174" t="s">
        <v>133</v>
      </c>
      <c r="B98" s="175">
        <v>66.469200000000001</v>
      </c>
      <c r="C98" s="175">
        <v>66.280550000000005</v>
      </c>
      <c r="D98" s="175">
        <v>66.863474999999994</v>
      </c>
      <c r="E98" s="175">
        <v>68.637450000000001</v>
      </c>
      <c r="F98" s="175">
        <v>69.420400000000001</v>
      </c>
      <c r="G98" s="175">
        <v>70.875174999999999</v>
      </c>
      <c r="H98" s="175">
        <v>70.940449999999998</v>
      </c>
      <c r="I98" s="175">
        <v>71.800925000000007</v>
      </c>
      <c r="J98" s="175">
        <v>0</v>
      </c>
      <c r="K98" s="175">
        <v>0</v>
      </c>
      <c r="L98" s="175">
        <v>0</v>
      </c>
      <c r="M98" s="175">
        <v>0</v>
      </c>
      <c r="N98" s="175">
        <v>0</v>
      </c>
      <c r="O98" s="10"/>
      <c r="P98" s="10"/>
      <c r="Q98" s="10"/>
    </row>
    <row r="99" spans="1:17" ht="13" outlineLevel="4" x14ac:dyDescent="0.3">
      <c r="A99" s="174" t="s">
        <v>134</v>
      </c>
      <c r="B99" s="175">
        <v>0</v>
      </c>
      <c r="C99" s="175">
        <v>0</v>
      </c>
      <c r="D99" s="175">
        <v>0</v>
      </c>
      <c r="E99" s="175">
        <v>0</v>
      </c>
      <c r="F99" s="175">
        <v>0</v>
      </c>
      <c r="G99" s="175">
        <v>0</v>
      </c>
      <c r="H99" s="175">
        <v>0</v>
      </c>
      <c r="I99" s="175">
        <v>0</v>
      </c>
      <c r="J99" s="175">
        <v>626.87893172647</v>
      </c>
      <c r="K99" s="175">
        <v>626.51823751399002</v>
      </c>
      <c r="L99" s="175">
        <v>628.23191550244997</v>
      </c>
      <c r="M99" s="175">
        <v>633.05030316803004</v>
      </c>
      <c r="N99" s="175">
        <v>639.79848096628996</v>
      </c>
      <c r="O99" s="10"/>
      <c r="P99" s="10"/>
      <c r="Q99" s="10"/>
    </row>
    <row r="100" spans="1:17" ht="13" outlineLevel="3" x14ac:dyDescent="0.3">
      <c r="A100" s="176" t="s">
        <v>135</v>
      </c>
      <c r="B100" s="175">
        <f t="shared" ref="B100:N100" si="16">SUM(B$101:B$101)</f>
        <v>113.9472</v>
      </c>
      <c r="C100" s="175">
        <f t="shared" si="16"/>
        <v>113.6238</v>
      </c>
      <c r="D100" s="175">
        <f t="shared" si="16"/>
        <v>114.62309999999999</v>
      </c>
      <c r="E100" s="175">
        <f t="shared" si="16"/>
        <v>117.66419999999999</v>
      </c>
      <c r="F100" s="175">
        <f t="shared" si="16"/>
        <v>119.0064</v>
      </c>
      <c r="G100" s="175">
        <f t="shared" si="16"/>
        <v>121.5003</v>
      </c>
      <c r="H100" s="175">
        <f t="shared" si="16"/>
        <v>121.6122</v>
      </c>
      <c r="I100" s="175">
        <f t="shared" si="16"/>
        <v>123.0873</v>
      </c>
      <c r="J100" s="175">
        <f t="shared" si="16"/>
        <v>123.5703</v>
      </c>
      <c r="K100" s="175">
        <f t="shared" si="16"/>
        <v>123.4992</v>
      </c>
      <c r="L100" s="175">
        <f t="shared" si="16"/>
        <v>123.837</v>
      </c>
      <c r="M100" s="175">
        <f t="shared" si="16"/>
        <v>124.7868</v>
      </c>
      <c r="N100" s="175">
        <f t="shared" si="16"/>
        <v>126.117</v>
      </c>
      <c r="O100" s="10"/>
      <c r="P100" s="10"/>
      <c r="Q100" s="10"/>
    </row>
    <row r="101" spans="1:17" ht="13" outlineLevel="4" x14ac:dyDescent="0.3">
      <c r="A101" s="174" t="s">
        <v>136</v>
      </c>
      <c r="B101" s="175">
        <v>113.9472</v>
      </c>
      <c r="C101" s="175">
        <v>113.6238</v>
      </c>
      <c r="D101" s="175">
        <v>114.62309999999999</v>
      </c>
      <c r="E101" s="175">
        <v>117.66419999999999</v>
      </c>
      <c r="F101" s="175">
        <v>119.0064</v>
      </c>
      <c r="G101" s="175">
        <v>121.5003</v>
      </c>
      <c r="H101" s="175">
        <v>121.6122</v>
      </c>
      <c r="I101" s="175">
        <v>123.0873</v>
      </c>
      <c r="J101" s="175">
        <v>123.5703</v>
      </c>
      <c r="K101" s="175">
        <v>123.4992</v>
      </c>
      <c r="L101" s="175">
        <v>123.837</v>
      </c>
      <c r="M101" s="175">
        <v>124.7868</v>
      </c>
      <c r="N101" s="175">
        <v>126.117</v>
      </c>
      <c r="O101" s="10"/>
      <c r="P101" s="10"/>
      <c r="Q101" s="10"/>
    </row>
    <row r="102" spans="1:17" ht="13" outlineLevel="3" x14ac:dyDescent="0.3">
      <c r="A102" s="176" t="s">
        <v>137</v>
      </c>
      <c r="B102" s="175">
        <f t="shared" ref="B102:N102" si="17">SUM(B$103:B$103)</f>
        <v>160.84042546983</v>
      </c>
      <c r="C102" s="175">
        <f t="shared" si="17"/>
        <v>158.97514058707</v>
      </c>
      <c r="D102" s="175">
        <f t="shared" si="17"/>
        <v>160.09354076784999</v>
      </c>
      <c r="E102" s="175">
        <f t="shared" si="17"/>
        <v>163.90583768939001</v>
      </c>
      <c r="F102" s="175">
        <f t="shared" si="17"/>
        <v>165.00930895042001</v>
      </c>
      <c r="G102" s="175">
        <f t="shared" si="17"/>
        <v>169.18432812233999</v>
      </c>
      <c r="H102" s="175">
        <f t="shared" si="17"/>
        <v>168.29170181393999</v>
      </c>
      <c r="I102" s="175">
        <f t="shared" si="17"/>
        <v>172.02643778962999</v>
      </c>
      <c r="J102" s="175">
        <f t="shared" si="17"/>
        <v>175.06545769905</v>
      </c>
      <c r="K102" s="175">
        <f t="shared" si="17"/>
        <v>176.23366302859</v>
      </c>
      <c r="L102" s="175">
        <f t="shared" si="17"/>
        <v>173.49275439361</v>
      </c>
      <c r="M102" s="175">
        <f t="shared" si="17"/>
        <v>172.90043608865</v>
      </c>
      <c r="N102" s="175">
        <f t="shared" si="17"/>
        <v>173.03822402111001</v>
      </c>
      <c r="O102" s="10"/>
      <c r="P102" s="10"/>
      <c r="Q102" s="10"/>
    </row>
    <row r="103" spans="1:17" ht="13" outlineLevel="4" x14ac:dyDescent="0.3">
      <c r="A103" s="174" t="s">
        <v>104</v>
      </c>
      <c r="B103" s="175">
        <v>160.84042546983</v>
      </c>
      <c r="C103" s="175">
        <v>158.97514058707</v>
      </c>
      <c r="D103" s="175">
        <v>160.09354076784999</v>
      </c>
      <c r="E103" s="175">
        <v>163.90583768939001</v>
      </c>
      <c r="F103" s="175">
        <v>165.00930895042001</v>
      </c>
      <c r="G103" s="175">
        <v>169.18432812233999</v>
      </c>
      <c r="H103" s="175">
        <v>168.29170181393999</v>
      </c>
      <c r="I103" s="175">
        <v>172.02643778962999</v>
      </c>
      <c r="J103" s="175">
        <v>175.06545769905</v>
      </c>
      <c r="K103" s="175">
        <v>176.23366302859</v>
      </c>
      <c r="L103" s="175">
        <v>173.49275439361</v>
      </c>
      <c r="M103" s="175">
        <v>172.90043608865</v>
      </c>
      <c r="N103" s="175">
        <v>173.03822402111001</v>
      </c>
      <c r="O103" s="10"/>
      <c r="P103" s="10"/>
      <c r="Q103" s="10"/>
    </row>
    <row r="104" spans="1:17" ht="14.5" outlineLevel="2" x14ac:dyDescent="0.35">
      <c r="A104" s="177" t="s">
        <v>2</v>
      </c>
      <c r="B104" s="178">
        <f t="shared" ref="B104:N104" si="18">B$105+B$112+B$115+B$117+B$120</f>
        <v>262.74599794319994</v>
      </c>
      <c r="C104" s="178">
        <f t="shared" si="18"/>
        <v>265.94844452512001</v>
      </c>
      <c r="D104" s="178">
        <f t="shared" si="18"/>
        <v>255.82712260205</v>
      </c>
      <c r="E104" s="178">
        <f t="shared" si="18"/>
        <v>244.89794151381</v>
      </c>
      <c r="F104" s="178">
        <f t="shared" si="18"/>
        <v>242.98780231090001</v>
      </c>
      <c r="G104" s="178">
        <f t="shared" si="18"/>
        <v>248.78953428748002</v>
      </c>
      <c r="H104" s="178">
        <f t="shared" si="18"/>
        <v>248.89652800636</v>
      </c>
      <c r="I104" s="178">
        <f t="shared" si="18"/>
        <v>254.42350506033</v>
      </c>
      <c r="J104" s="178">
        <f t="shared" si="18"/>
        <v>222.92742266970004</v>
      </c>
      <c r="K104" s="178">
        <f t="shared" si="18"/>
        <v>219.91768862883001</v>
      </c>
      <c r="L104" s="178">
        <f t="shared" si="18"/>
        <v>213.01884925384996</v>
      </c>
      <c r="M104" s="178">
        <f t="shared" si="18"/>
        <v>212.77601697571998</v>
      </c>
      <c r="N104" s="178">
        <f t="shared" si="18"/>
        <v>219.15364540834997</v>
      </c>
      <c r="O104" s="10"/>
      <c r="P104" s="10"/>
      <c r="Q104" s="10"/>
    </row>
    <row r="105" spans="1:17" ht="13" outlineLevel="3" x14ac:dyDescent="0.3">
      <c r="A105" s="176" t="s">
        <v>96</v>
      </c>
      <c r="B105" s="175">
        <f t="shared" ref="B105:N105" si="19">SUM(B$106:B$111)</f>
        <v>160.72856170807</v>
      </c>
      <c r="C105" s="175">
        <f t="shared" si="19"/>
        <v>164.28373539414</v>
      </c>
      <c r="D105" s="175">
        <f t="shared" si="19"/>
        <v>153.30039263683</v>
      </c>
      <c r="E105" s="175">
        <f t="shared" si="19"/>
        <v>139.61343119416</v>
      </c>
      <c r="F105" s="175">
        <f t="shared" si="19"/>
        <v>136.53219095499</v>
      </c>
      <c r="G105" s="175">
        <f t="shared" si="19"/>
        <v>140.21968338077002</v>
      </c>
      <c r="H105" s="175">
        <f t="shared" si="19"/>
        <v>140.24611766097001</v>
      </c>
      <c r="I105" s="175">
        <f t="shared" si="19"/>
        <v>144.39465422303999</v>
      </c>
      <c r="J105" s="175">
        <f t="shared" si="19"/>
        <v>141.35557377598002</v>
      </c>
      <c r="K105" s="175">
        <f t="shared" si="19"/>
        <v>138.35137537388999</v>
      </c>
      <c r="L105" s="175">
        <f t="shared" si="19"/>
        <v>131.35752267404999</v>
      </c>
      <c r="M105" s="175">
        <f t="shared" si="19"/>
        <v>130.72604184745998</v>
      </c>
      <c r="N105" s="175">
        <f t="shared" si="19"/>
        <v>136.28570344675998</v>
      </c>
      <c r="O105" s="10"/>
      <c r="P105" s="10"/>
      <c r="Q105" s="10"/>
    </row>
    <row r="106" spans="1:17" ht="13" outlineLevel="4" x14ac:dyDescent="0.3">
      <c r="A106" s="174" t="s">
        <v>156</v>
      </c>
      <c r="B106" s="175">
        <v>12.662369999999999</v>
      </c>
      <c r="C106" s="175">
        <v>12.32535</v>
      </c>
      <c r="D106" s="175">
        <v>12.38904</v>
      </c>
      <c r="E106" s="175">
        <v>12.710100000000001</v>
      </c>
      <c r="F106" s="175">
        <v>12.74916</v>
      </c>
      <c r="G106" s="175">
        <v>13.14513</v>
      </c>
      <c r="H106" s="175">
        <v>13.006410000000001</v>
      </c>
      <c r="I106" s="175">
        <v>13.325430000000001</v>
      </c>
      <c r="J106" s="175">
        <v>13.711349999999999</v>
      </c>
      <c r="K106" s="175">
        <v>13.78623</v>
      </c>
      <c r="L106" s="175">
        <v>13.390499999999999</v>
      </c>
      <c r="M106" s="175">
        <v>13.15878</v>
      </c>
      <c r="N106" s="175">
        <v>13.17798</v>
      </c>
      <c r="O106" s="10"/>
      <c r="P106" s="10"/>
      <c r="Q106" s="10"/>
    </row>
    <row r="107" spans="1:17" ht="13" outlineLevel="4" x14ac:dyDescent="0.3">
      <c r="A107" s="174" t="s">
        <v>99</v>
      </c>
      <c r="B107" s="175">
        <v>42.482597292279998</v>
      </c>
      <c r="C107" s="175">
        <v>47.534649706629999</v>
      </c>
      <c r="D107" s="175">
        <v>40.720778894319999</v>
      </c>
      <c r="E107" s="175">
        <v>34.517423706339997</v>
      </c>
      <c r="F107" s="175">
        <v>34.31620489857</v>
      </c>
      <c r="G107" s="175">
        <v>35.536443784920003</v>
      </c>
      <c r="H107" s="175">
        <v>35.903230671919999</v>
      </c>
      <c r="I107" s="175">
        <v>37.971141920459999</v>
      </c>
      <c r="J107" s="175">
        <v>38.611953762280002</v>
      </c>
      <c r="K107" s="175">
        <v>46.124770762799997</v>
      </c>
      <c r="L107" s="175">
        <v>44.224910913830001</v>
      </c>
      <c r="M107" s="175">
        <v>44.033286887869998</v>
      </c>
      <c r="N107" s="175">
        <v>45.32443061531</v>
      </c>
      <c r="O107" s="10"/>
      <c r="P107" s="10"/>
      <c r="Q107" s="10"/>
    </row>
    <row r="108" spans="1:17" ht="13" outlineLevel="4" x14ac:dyDescent="0.3">
      <c r="A108" s="174" t="s">
        <v>100</v>
      </c>
      <c r="B108" s="175">
        <v>4.2488582534999999</v>
      </c>
      <c r="C108" s="175">
        <v>4.0854426799999999</v>
      </c>
      <c r="D108" s="175">
        <v>4.1065537919999997</v>
      </c>
      <c r="E108" s="175">
        <v>4.2129744799999997</v>
      </c>
      <c r="F108" s="175">
        <v>4.2259215680000004</v>
      </c>
      <c r="G108" s="175">
        <v>4.3571724239999998</v>
      </c>
      <c r="H108" s="175">
        <v>4.3111913680000002</v>
      </c>
      <c r="I108" s="175">
        <v>4.3557849980099999</v>
      </c>
      <c r="J108" s="175">
        <v>4.4819336135799999</v>
      </c>
      <c r="K108" s="175">
        <v>4.5064102106300004</v>
      </c>
      <c r="L108" s="175">
        <v>4.3770549254900004</v>
      </c>
      <c r="M108" s="175">
        <v>4.3013108407100002</v>
      </c>
      <c r="N108" s="175">
        <v>8.0852744912300007</v>
      </c>
      <c r="O108" s="10"/>
      <c r="P108" s="10"/>
      <c r="Q108" s="10"/>
    </row>
    <row r="109" spans="1:17" ht="13" outlineLevel="4" x14ac:dyDescent="0.3">
      <c r="A109" s="174" t="s">
        <v>103</v>
      </c>
      <c r="B109" s="175">
        <v>20.401384690299999</v>
      </c>
      <c r="C109" s="175">
        <v>20.343482365290001</v>
      </c>
      <c r="D109" s="175">
        <v>20.522972590809999</v>
      </c>
      <c r="E109" s="175">
        <v>20.970340408790001</v>
      </c>
      <c r="F109" s="175">
        <v>20.783903655380001</v>
      </c>
      <c r="G109" s="175">
        <v>21.0930911566</v>
      </c>
      <c r="H109" s="175">
        <v>21.286082517010001</v>
      </c>
      <c r="I109" s="175">
        <v>21.544272898589998</v>
      </c>
      <c r="J109" s="175">
        <v>21.629077193330001</v>
      </c>
      <c r="K109" s="175">
        <v>21.514682013150001</v>
      </c>
      <c r="L109" s="175">
        <v>21.1233823462</v>
      </c>
      <c r="M109" s="175">
        <v>21.155615334970001</v>
      </c>
      <c r="N109" s="175">
        <v>21.577228281509999</v>
      </c>
      <c r="O109" s="10"/>
      <c r="P109" s="10"/>
      <c r="Q109" s="10"/>
    </row>
    <row r="110" spans="1:17" ht="13" outlineLevel="4" x14ac:dyDescent="0.3">
      <c r="A110" s="174" t="s">
        <v>104</v>
      </c>
      <c r="B110" s="175">
        <v>80.927352987519996</v>
      </c>
      <c r="C110" s="175">
        <v>79.988829182390006</v>
      </c>
      <c r="D110" s="175">
        <v>75.554898670949996</v>
      </c>
      <c r="E110" s="175">
        <v>67.196280777569996</v>
      </c>
      <c r="F110" s="175">
        <v>64.450617012389998</v>
      </c>
      <c r="G110" s="175">
        <v>66.081328415160002</v>
      </c>
      <c r="H110" s="175">
        <v>65.732679501329997</v>
      </c>
      <c r="I110" s="175">
        <v>67.191421674980006</v>
      </c>
      <c r="J110" s="175">
        <v>62.914482282020003</v>
      </c>
      <c r="K110" s="175">
        <v>52.412509361849999</v>
      </c>
      <c r="L110" s="175">
        <v>48.23488293722</v>
      </c>
      <c r="M110" s="175">
        <v>48.070205143030002</v>
      </c>
      <c r="N110" s="175">
        <v>48.108513283420002</v>
      </c>
      <c r="O110" s="10"/>
      <c r="P110" s="10"/>
      <c r="Q110" s="10"/>
    </row>
    <row r="111" spans="1:17" ht="13" outlineLevel="4" x14ac:dyDescent="0.3">
      <c r="A111" s="174" t="s">
        <v>105</v>
      </c>
      <c r="B111" s="175">
        <v>5.99848447E-3</v>
      </c>
      <c r="C111" s="175">
        <v>5.9814598299999999E-3</v>
      </c>
      <c r="D111" s="175">
        <v>6.1486887499999998E-3</v>
      </c>
      <c r="E111" s="175">
        <v>6.3118214600000003E-3</v>
      </c>
      <c r="F111" s="175">
        <v>6.3838206500000001E-3</v>
      </c>
      <c r="G111" s="175">
        <v>6.5176000899999998E-3</v>
      </c>
      <c r="H111" s="175">
        <v>6.5236027099999996E-3</v>
      </c>
      <c r="I111" s="175">
        <v>6.6027309999999997E-3</v>
      </c>
      <c r="J111" s="175">
        <v>6.7769247699999997E-3</v>
      </c>
      <c r="K111" s="175">
        <v>6.7730254600000001E-3</v>
      </c>
      <c r="L111" s="175">
        <v>6.7915513100000003E-3</v>
      </c>
      <c r="M111" s="175">
        <v>6.8436408799999997E-3</v>
      </c>
      <c r="N111" s="175">
        <v>1.227677529E-2</v>
      </c>
      <c r="O111" s="10"/>
      <c r="P111" s="10"/>
      <c r="Q111" s="10"/>
    </row>
    <row r="112" spans="1:17" ht="13" outlineLevel="3" x14ac:dyDescent="0.3">
      <c r="A112" s="176" t="s">
        <v>157</v>
      </c>
      <c r="B112" s="175">
        <f t="shared" ref="B112:N112" si="20">SUM(B$113:B$114)</f>
        <v>32.463972362509999</v>
      </c>
      <c r="C112" s="175">
        <f t="shared" si="20"/>
        <v>32.345001555940001</v>
      </c>
      <c r="D112" s="175">
        <f t="shared" si="20"/>
        <v>32.74519176599</v>
      </c>
      <c r="E112" s="175">
        <f t="shared" si="20"/>
        <v>33.662806870620003</v>
      </c>
      <c r="F112" s="175">
        <f t="shared" si="20"/>
        <v>34.036687743190001</v>
      </c>
      <c r="G112" s="175">
        <f t="shared" si="20"/>
        <v>34.763851912509999</v>
      </c>
      <c r="H112" s="175">
        <f t="shared" si="20"/>
        <v>34.803491221259996</v>
      </c>
      <c r="I112" s="175">
        <f t="shared" si="20"/>
        <v>35.242505014449996</v>
      </c>
      <c r="J112" s="175">
        <f t="shared" si="20"/>
        <v>35.41568732831</v>
      </c>
      <c r="K112" s="175">
        <f t="shared" si="20"/>
        <v>35.403965351890001</v>
      </c>
      <c r="L112" s="175">
        <f t="shared" si="20"/>
        <v>35.455878879149999</v>
      </c>
      <c r="M112" s="175">
        <f t="shared" si="20"/>
        <v>35.692834970749999</v>
      </c>
      <c r="N112" s="175">
        <f t="shared" si="20"/>
        <v>36.060648373310002</v>
      </c>
      <c r="O112" s="10"/>
      <c r="P112" s="10"/>
      <c r="Q112" s="10"/>
    </row>
    <row r="113" spans="1:17" ht="13" outlineLevel="4" x14ac:dyDescent="0.3">
      <c r="A113" s="174" t="s">
        <v>158</v>
      </c>
      <c r="B113" s="175">
        <v>31.33548</v>
      </c>
      <c r="C113" s="175">
        <v>31.246545000000001</v>
      </c>
      <c r="D113" s="175">
        <v>31.521352499999999</v>
      </c>
      <c r="E113" s="175">
        <v>32.357655000000001</v>
      </c>
      <c r="F113" s="175">
        <v>32.726759999999999</v>
      </c>
      <c r="G113" s="175">
        <v>33.412582499999999</v>
      </c>
      <c r="H113" s="175">
        <v>33.443354999999997</v>
      </c>
      <c r="I113" s="175">
        <v>33.849007499999999</v>
      </c>
      <c r="J113" s="175">
        <v>33.981832500000003</v>
      </c>
      <c r="K113" s="175">
        <v>33.96228</v>
      </c>
      <c r="L113" s="175">
        <v>34.055174999999998</v>
      </c>
      <c r="M113" s="175">
        <v>34.316369999999999</v>
      </c>
      <c r="N113" s="175">
        <v>34.682175000000001</v>
      </c>
      <c r="O113" s="10"/>
      <c r="P113" s="10"/>
      <c r="Q113" s="10"/>
    </row>
    <row r="114" spans="1:17" ht="13" outlineLevel="4" x14ac:dyDescent="0.3">
      <c r="A114" s="174" t="s">
        <v>111</v>
      </c>
      <c r="B114" s="175">
        <v>1.1284923625100001</v>
      </c>
      <c r="C114" s="175">
        <v>1.0984565559399999</v>
      </c>
      <c r="D114" s="175">
        <v>1.2238392659899999</v>
      </c>
      <c r="E114" s="175">
        <v>1.30515187062</v>
      </c>
      <c r="F114" s="175">
        <v>1.30992774319</v>
      </c>
      <c r="G114" s="175">
        <v>1.35126941251</v>
      </c>
      <c r="H114" s="175">
        <v>1.3601362212599999</v>
      </c>
      <c r="I114" s="175">
        <v>1.3934975144499999</v>
      </c>
      <c r="J114" s="175">
        <v>1.4338548283100001</v>
      </c>
      <c r="K114" s="175">
        <v>1.4416853518899999</v>
      </c>
      <c r="L114" s="175">
        <v>1.4007038791499999</v>
      </c>
      <c r="M114" s="175">
        <v>1.3764649707500001</v>
      </c>
      <c r="N114" s="175">
        <v>1.3784733733100001</v>
      </c>
      <c r="O114" s="10"/>
      <c r="P114" s="10"/>
      <c r="Q114" s="10"/>
    </row>
    <row r="115" spans="1:17" ht="13" outlineLevel="3" x14ac:dyDescent="0.3">
      <c r="A115" s="176" t="s">
        <v>119</v>
      </c>
      <c r="B115" s="175">
        <f t="shared" ref="B115:N115" si="21">SUM(B$116:B$116)</f>
        <v>7.4799616972800003</v>
      </c>
      <c r="C115" s="175">
        <f t="shared" si="21"/>
        <v>7.4587323944700001</v>
      </c>
      <c r="D115" s="175">
        <f t="shared" si="21"/>
        <v>7.3837262102799999</v>
      </c>
      <c r="E115" s="175">
        <f t="shared" si="21"/>
        <v>7.5796260749500002</v>
      </c>
      <c r="F115" s="175">
        <f t="shared" si="21"/>
        <v>7.6660871575699998</v>
      </c>
      <c r="G115" s="175">
        <f t="shared" si="21"/>
        <v>7.6776974332599996</v>
      </c>
      <c r="H115" s="175">
        <f t="shared" si="21"/>
        <v>7.6847684803499998</v>
      </c>
      <c r="I115" s="175">
        <f t="shared" si="21"/>
        <v>7.7779811842099997</v>
      </c>
      <c r="J115" s="175">
        <f t="shared" si="21"/>
        <v>7.6569227578100003</v>
      </c>
      <c r="K115" s="175">
        <f t="shared" si="21"/>
        <v>7.6525171101099998</v>
      </c>
      <c r="L115" s="175">
        <f t="shared" si="21"/>
        <v>7.673448584</v>
      </c>
      <c r="M115" s="175">
        <f t="shared" si="21"/>
        <v>7.57923028072</v>
      </c>
      <c r="N115" s="175">
        <f t="shared" si="21"/>
        <v>7.6600232181100001</v>
      </c>
      <c r="O115" s="10"/>
      <c r="P115" s="10"/>
      <c r="Q115" s="10"/>
    </row>
    <row r="116" spans="1:17" ht="13" outlineLevel="4" x14ac:dyDescent="0.3">
      <c r="A116" s="174" t="s">
        <v>159</v>
      </c>
      <c r="B116" s="175">
        <v>7.4799616972800003</v>
      </c>
      <c r="C116" s="175">
        <v>7.4587323944700001</v>
      </c>
      <c r="D116" s="175">
        <v>7.3837262102799999</v>
      </c>
      <c r="E116" s="175">
        <v>7.5796260749500002</v>
      </c>
      <c r="F116" s="175">
        <v>7.6660871575699998</v>
      </c>
      <c r="G116" s="175">
        <v>7.6776974332599996</v>
      </c>
      <c r="H116" s="175">
        <v>7.6847684803499998</v>
      </c>
      <c r="I116" s="175">
        <v>7.7779811842099997</v>
      </c>
      <c r="J116" s="175">
        <v>7.6569227578100003</v>
      </c>
      <c r="K116" s="175">
        <v>7.6525171101099998</v>
      </c>
      <c r="L116" s="175">
        <v>7.673448584</v>
      </c>
      <c r="M116" s="175">
        <v>7.57923028072</v>
      </c>
      <c r="N116" s="175">
        <v>7.6600232181100001</v>
      </c>
      <c r="O116" s="10"/>
      <c r="P116" s="10"/>
      <c r="Q116" s="10"/>
    </row>
    <row r="117" spans="1:17" ht="13" outlineLevel="3" x14ac:dyDescent="0.3">
      <c r="A117" s="176" t="s">
        <v>163</v>
      </c>
      <c r="B117" s="175">
        <f t="shared" ref="B117:N117" si="22">SUM(B$118:B$119)</f>
        <v>57.923159999999996</v>
      </c>
      <c r="C117" s="175">
        <f t="shared" si="22"/>
        <v>57.758764999999997</v>
      </c>
      <c r="D117" s="175">
        <f t="shared" si="22"/>
        <v>58.266742499999999</v>
      </c>
      <c r="E117" s="175">
        <f t="shared" si="22"/>
        <v>59.812635</v>
      </c>
      <c r="F117" s="175">
        <f t="shared" si="22"/>
        <v>60.49492</v>
      </c>
      <c r="G117" s="175">
        <f t="shared" si="22"/>
        <v>61.762652500000002</v>
      </c>
      <c r="H117" s="175">
        <f t="shared" si="22"/>
        <v>61.819535000000002</v>
      </c>
      <c r="I117" s="175">
        <f t="shared" si="22"/>
        <v>62.569377500000002</v>
      </c>
      <c r="J117" s="175">
        <f t="shared" si="22"/>
        <v>33.981832500000003</v>
      </c>
      <c r="K117" s="175">
        <f t="shared" si="22"/>
        <v>33.96228</v>
      </c>
      <c r="L117" s="175">
        <f t="shared" si="22"/>
        <v>34.055174999999998</v>
      </c>
      <c r="M117" s="175">
        <f t="shared" si="22"/>
        <v>34.316369999999999</v>
      </c>
      <c r="N117" s="175">
        <f t="shared" si="22"/>
        <v>34.682175000000001</v>
      </c>
      <c r="O117" s="10"/>
      <c r="P117" s="10"/>
      <c r="Q117" s="10"/>
    </row>
    <row r="118" spans="1:17" ht="13" outlineLevel="4" x14ac:dyDescent="0.3">
      <c r="A118" s="174" t="s">
        <v>164</v>
      </c>
      <c r="B118" s="175">
        <v>26.587679999999999</v>
      </c>
      <c r="C118" s="175">
        <v>26.512219999999999</v>
      </c>
      <c r="D118" s="175">
        <v>26.74539</v>
      </c>
      <c r="E118" s="175">
        <v>27.454979999999999</v>
      </c>
      <c r="F118" s="175">
        <v>27.768160000000002</v>
      </c>
      <c r="G118" s="175">
        <v>28.350069999999999</v>
      </c>
      <c r="H118" s="175">
        <v>28.376180000000002</v>
      </c>
      <c r="I118" s="175">
        <v>28.720369999999999</v>
      </c>
      <c r="J118" s="175">
        <v>0</v>
      </c>
      <c r="K118" s="175">
        <v>0</v>
      </c>
      <c r="L118" s="175">
        <v>0</v>
      </c>
      <c r="M118" s="175">
        <v>0</v>
      </c>
      <c r="N118" s="175">
        <v>0</v>
      </c>
      <c r="O118" s="10"/>
      <c r="P118" s="10"/>
      <c r="Q118" s="10"/>
    </row>
    <row r="119" spans="1:17" ht="13" outlineLevel="4" x14ac:dyDescent="0.3">
      <c r="A119" s="174" t="s">
        <v>165</v>
      </c>
      <c r="B119" s="175">
        <v>31.33548</v>
      </c>
      <c r="C119" s="175">
        <v>31.246545000000001</v>
      </c>
      <c r="D119" s="175">
        <v>31.521352499999999</v>
      </c>
      <c r="E119" s="175">
        <v>32.357655000000001</v>
      </c>
      <c r="F119" s="175">
        <v>32.726759999999999</v>
      </c>
      <c r="G119" s="175">
        <v>33.412582499999999</v>
      </c>
      <c r="H119" s="175">
        <v>33.443354999999997</v>
      </c>
      <c r="I119" s="175">
        <v>33.849007499999999</v>
      </c>
      <c r="J119" s="175">
        <v>33.981832500000003</v>
      </c>
      <c r="K119" s="175">
        <v>33.96228</v>
      </c>
      <c r="L119" s="175">
        <v>34.055174999999998</v>
      </c>
      <c r="M119" s="175">
        <v>34.316369999999999</v>
      </c>
      <c r="N119" s="175">
        <v>34.682175000000001</v>
      </c>
      <c r="O119" s="10"/>
      <c r="P119" s="10"/>
      <c r="Q119" s="10"/>
    </row>
    <row r="120" spans="1:17" ht="13" outlineLevel="3" x14ac:dyDescent="0.3">
      <c r="A120" s="176" t="s">
        <v>137</v>
      </c>
      <c r="B120" s="175">
        <f t="shared" ref="B120:N120" si="23">SUM(B$121:B$121)</f>
        <v>4.1503421753399996</v>
      </c>
      <c r="C120" s="175">
        <f t="shared" si="23"/>
        <v>4.1022101805700002</v>
      </c>
      <c r="D120" s="175">
        <f t="shared" si="23"/>
        <v>4.1310694889499997</v>
      </c>
      <c r="E120" s="175">
        <f t="shared" si="23"/>
        <v>4.2294423740799996</v>
      </c>
      <c r="F120" s="175">
        <f t="shared" si="23"/>
        <v>4.2579164551500002</v>
      </c>
      <c r="G120" s="175">
        <f t="shared" si="23"/>
        <v>4.36564906094</v>
      </c>
      <c r="H120" s="175">
        <f t="shared" si="23"/>
        <v>4.3426156437800003</v>
      </c>
      <c r="I120" s="175">
        <f t="shared" si="23"/>
        <v>4.4389871386299999</v>
      </c>
      <c r="J120" s="175">
        <f t="shared" si="23"/>
        <v>4.5174063075999999</v>
      </c>
      <c r="K120" s="175">
        <f t="shared" si="23"/>
        <v>4.5475507929400001</v>
      </c>
      <c r="L120" s="175">
        <f t="shared" si="23"/>
        <v>4.4768241166499996</v>
      </c>
      <c r="M120" s="175">
        <f t="shared" si="23"/>
        <v>4.4615398767899999</v>
      </c>
      <c r="N120" s="175">
        <f t="shared" si="23"/>
        <v>4.4650953701700002</v>
      </c>
      <c r="O120" s="10"/>
      <c r="P120" s="10"/>
      <c r="Q120" s="10"/>
    </row>
    <row r="121" spans="1:17" ht="13" outlineLevel="4" x14ac:dyDescent="0.3">
      <c r="A121" s="174" t="s">
        <v>104</v>
      </c>
      <c r="B121" s="175">
        <v>4.1503421753399996</v>
      </c>
      <c r="C121" s="175">
        <v>4.1022101805700002</v>
      </c>
      <c r="D121" s="175">
        <v>4.1310694889499997</v>
      </c>
      <c r="E121" s="175">
        <v>4.2294423740799996</v>
      </c>
      <c r="F121" s="175">
        <v>4.2579164551500002</v>
      </c>
      <c r="G121" s="175">
        <v>4.36564906094</v>
      </c>
      <c r="H121" s="175">
        <v>4.3426156437800003</v>
      </c>
      <c r="I121" s="175">
        <v>4.4389871386299999</v>
      </c>
      <c r="J121" s="175">
        <v>4.5174063075999999</v>
      </c>
      <c r="K121" s="175">
        <v>4.5475507929400001</v>
      </c>
      <c r="L121" s="175">
        <v>4.4768241166499996</v>
      </c>
      <c r="M121" s="175">
        <v>4.4615398767899999</v>
      </c>
      <c r="N121" s="175">
        <v>4.4650953701700002</v>
      </c>
      <c r="O121" s="10"/>
      <c r="P121" s="10"/>
      <c r="Q121" s="10"/>
    </row>
    <row r="122" spans="1:17" x14ac:dyDescent="0.25">
      <c r="B122" s="9"/>
      <c r="C122" s="9"/>
      <c r="D122" s="9"/>
      <c r="E122" s="9"/>
      <c r="F122" s="9"/>
      <c r="G122" s="9"/>
      <c r="H122" s="9"/>
      <c r="I122" s="9"/>
      <c r="J122" s="9"/>
      <c r="K122" s="9"/>
      <c r="L122" s="9"/>
      <c r="M122" s="9"/>
      <c r="N122" s="9"/>
      <c r="O122" s="10"/>
      <c r="P122" s="10"/>
      <c r="Q122" s="10"/>
    </row>
    <row r="123" spans="1:17" x14ac:dyDescent="0.25">
      <c r="B123" s="9"/>
      <c r="C123" s="9"/>
      <c r="D123" s="9"/>
      <c r="E123" s="9"/>
      <c r="F123" s="9"/>
      <c r="G123" s="9"/>
      <c r="H123" s="9"/>
      <c r="I123" s="9"/>
      <c r="J123" s="9"/>
      <c r="K123" s="9"/>
      <c r="L123" s="9"/>
      <c r="M123" s="9"/>
      <c r="N123" s="9"/>
      <c r="O123" s="10"/>
      <c r="P123" s="10"/>
      <c r="Q123" s="10"/>
    </row>
    <row r="124" spans="1:17" x14ac:dyDescent="0.25">
      <c r="B124" s="9"/>
      <c r="C124" s="9"/>
      <c r="D124" s="9"/>
      <c r="E124" s="9"/>
      <c r="F124" s="9"/>
      <c r="G124" s="9"/>
      <c r="H124" s="9"/>
      <c r="I124" s="9"/>
      <c r="J124" s="9"/>
      <c r="K124" s="9"/>
      <c r="L124" s="9"/>
      <c r="M124" s="9"/>
      <c r="N124" s="9"/>
      <c r="O124" s="10"/>
      <c r="P124" s="10"/>
      <c r="Q124" s="10"/>
    </row>
    <row r="125" spans="1:17" x14ac:dyDescent="0.25">
      <c r="B125" s="9"/>
      <c r="C125" s="9"/>
      <c r="D125" s="9"/>
      <c r="E125" s="9"/>
      <c r="F125" s="9"/>
      <c r="G125" s="9"/>
      <c r="H125" s="9"/>
      <c r="I125" s="9"/>
      <c r="J125" s="9"/>
      <c r="K125" s="9"/>
      <c r="L125" s="9"/>
      <c r="M125" s="9"/>
      <c r="N125" s="9"/>
      <c r="O125" s="10"/>
      <c r="P125" s="10"/>
      <c r="Q125" s="10"/>
    </row>
    <row r="126" spans="1:17" x14ac:dyDescent="0.25">
      <c r="B126" s="9"/>
      <c r="C126" s="9"/>
      <c r="D126" s="9"/>
      <c r="E126" s="9"/>
      <c r="F126" s="9"/>
      <c r="G126" s="9"/>
      <c r="H126" s="9"/>
      <c r="I126" s="9"/>
      <c r="J126" s="9"/>
      <c r="K126" s="9"/>
      <c r="L126" s="9"/>
      <c r="M126" s="9"/>
      <c r="N126" s="9"/>
      <c r="O126" s="10"/>
      <c r="P126" s="10"/>
      <c r="Q126" s="10"/>
    </row>
    <row r="127" spans="1:17" x14ac:dyDescent="0.25">
      <c r="B127" s="9"/>
      <c r="C127" s="9"/>
      <c r="D127" s="9"/>
      <c r="E127" s="9"/>
      <c r="F127" s="9"/>
      <c r="G127" s="9"/>
      <c r="H127" s="9"/>
      <c r="I127" s="9"/>
      <c r="J127" s="9"/>
      <c r="K127" s="9"/>
      <c r="L127" s="9"/>
      <c r="M127" s="9"/>
      <c r="N127" s="9"/>
      <c r="O127" s="10"/>
      <c r="P127" s="10"/>
      <c r="Q127" s="10"/>
    </row>
    <row r="128" spans="1:17" x14ac:dyDescent="0.25">
      <c r="B128" s="9"/>
      <c r="C128" s="9"/>
      <c r="D128" s="9"/>
      <c r="E128" s="9"/>
      <c r="F128" s="9"/>
      <c r="G128" s="9"/>
      <c r="H128" s="9"/>
      <c r="I128" s="9"/>
      <c r="J128" s="9"/>
      <c r="K128" s="9"/>
      <c r="L128" s="9"/>
      <c r="M128" s="9"/>
      <c r="N128" s="9"/>
      <c r="O128" s="10"/>
      <c r="P128" s="10"/>
      <c r="Q128" s="10"/>
    </row>
    <row r="129" spans="2:17" x14ac:dyDescent="0.25">
      <c r="B129" s="9"/>
      <c r="C129" s="9"/>
      <c r="D129" s="9"/>
      <c r="E129" s="9"/>
      <c r="F129" s="9"/>
      <c r="G129" s="9"/>
      <c r="H129" s="9"/>
      <c r="I129" s="9"/>
      <c r="J129" s="9"/>
      <c r="K129" s="9"/>
      <c r="L129" s="9"/>
      <c r="M129" s="9"/>
      <c r="N129" s="9"/>
      <c r="O129" s="10"/>
      <c r="P129" s="10"/>
      <c r="Q129" s="10"/>
    </row>
    <row r="130" spans="2:17" x14ac:dyDescent="0.25">
      <c r="B130" s="9"/>
      <c r="C130" s="9"/>
      <c r="D130" s="9"/>
      <c r="E130" s="9"/>
      <c r="F130" s="9"/>
      <c r="G130" s="9"/>
      <c r="H130" s="9"/>
      <c r="I130" s="9"/>
      <c r="J130" s="9"/>
      <c r="K130" s="9"/>
      <c r="L130" s="9"/>
      <c r="M130" s="9"/>
      <c r="N130" s="9"/>
      <c r="O130" s="10"/>
      <c r="P130" s="10"/>
      <c r="Q130" s="10"/>
    </row>
    <row r="131" spans="2:17" x14ac:dyDescent="0.25">
      <c r="B131" s="9"/>
      <c r="C131" s="9"/>
      <c r="D131" s="9"/>
      <c r="E131" s="9"/>
      <c r="F131" s="9"/>
      <c r="G131" s="9"/>
      <c r="H131" s="9"/>
      <c r="I131" s="9"/>
      <c r="J131" s="9"/>
      <c r="K131" s="9"/>
      <c r="L131" s="9"/>
      <c r="M131" s="9"/>
      <c r="N131" s="9"/>
      <c r="O131" s="10"/>
      <c r="P131" s="10"/>
      <c r="Q131" s="10"/>
    </row>
    <row r="132" spans="2:17" x14ac:dyDescent="0.25">
      <c r="B132" s="9"/>
      <c r="C132" s="9"/>
      <c r="D132" s="9"/>
      <c r="E132" s="9"/>
      <c r="F132" s="9"/>
      <c r="G132" s="9"/>
      <c r="H132" s="9"/>
      <c r="I132" s="9"/>
      <c r="J132" s="9"/>
      <c r="K132" s="9"/>
      <c r="L132" s="9"/>
      <c r="M132" s="9"/>
      <c r="N132" s="9"/>
      <c r="O132" s="10"/>
      <c r="P132" s="10"/>
      <c r="Q132" s="10"/>
    </row>
    <row r="133" spans="2:17" x14ac:dyDescent="0.25">
      <c r="B133" s="9"/>
      <c r="C133" s="9"/>
      <c r="D133" s="9"/>
      <c r="E133" s="9"/>
      <c r="F133" s="9"/>
      <c r="G133" s="9"/>
      <c r="H133" s="9"/>
      <c r="I133" s="9"/>
      <c r="J133" s="9"/>
      <c r="K133" s="9"/>
      <c r="L133" s="9"/>
      <c r="M133" s="9"/>
      <c r="N133" s="9"/>
      <c r="O133" s="10"/>
      <c r="P133" s="10"/>
      <c r="Q133" s="10"/>
    </row>
    <row r="134" spans="2:17" x14ac:dyDescent="0.25">
      <c r="B134" s="9"/>
      <c r="C134" s="9"/>
      <c r="D134" s="9"/>
      <c r="E134" s="9"/>
      <c r="F134" s="9"/>
      <c r="G134" s="9"/>
      <c r="H134" s="9"/>
      <c r="I134" s="9"/>
      <c r="J134" s="9"/>
      <c r="K134" s="9"/>
      <c r="L134" s="9"/>
      <c r="M134" s="9"/>
      <c r="N134" s="9"/>
      <c r="O134" s="10"/>
      <c r="P134" s="10"/>
      <c r="Q134" s="10"/>
    </row>
    <row r="135" spans="2:17" x14ac:dyDescent="0.25">
      <c r="B135" s="9"/>
      <c r="C135" s="9"/>
      <c r="D135" s="9"/>
      <c r="E135" s="9"/>
      <c r="F135" s="9"/>
      <c r="G135" s="9"/>
      <c r="H135" s="9"/>
      <c r="I135" s="9"/>
      <c r="J135" s="9"/>
      <c r="K135" s="9"/>
      <c r="L135" s="9"/>
      <c r="M135" s="9"/>
      <c r="N135" s="9"/>
      <c r="O135" s="10"/>
      <c r="P135" s="10"/>
      <c r="Q135" s="10"/>
    </row>
    <row r="136" spans="2:17" x14ac:dyDescent="0.25">
      <c r="B136" s="9"/>
      <c r="C136" s="9"/>
      <c r="D136" s="9"/>
      <c r="E136" s="9"/>
      <c r="F136" s="9"/>
      <c r="G136" s="9"/>
      <c r="H136" s="9"/>
      <c r="I136" s="9"/>
      <c r="J136" s="9"/>
      <c r="K136" s="9"/>
      <c r="L136" s="9"/>
      <c r="M136" s="9"/>
      <c r="N136" s="9"/>
      <c r="O136" s="10"/>
      <c r="P136" s="10"/>
      <c r="Q136" s="10"/>
    </row>
    <row r="137" spans="2:17" x14ac:dyDescent="0.25">
      <c r="B137" s="9"/>
      <c r="C137" s="9"/>
      <c r="D137" s="9"/>
      <c r="E137" s="9"/>
      <c r="F137" s="9"/>
      <c r="G137" s="9"/>
      <c r="H137" s="9"/>
      <c r="I137" s="9"/>
      <c r="J137" s="9"/>
      <c r="K137" s="9"/>
      <c r="L137" s="9"/>
      <c r="M137" s="9"/>
      <c r="N137" s="9"/>
      <c r="O137" s="10"/>
      <c r="P137" s="10"/>
      <c r="Q137" s="10"/>
    </row>
    <row r="138" spans="2:17" x14ac:dyDescent="0.25">
      <c r="B138" s="9"/>
      <c r="C138" s="9"/>
      <c r="D138" s="9"/>
      <c r="E138" s="9"/>
      <c r="F138" s="9"/>
      <c r="G138" s="9"/>
      <c r="H138" s="9"/>
      <c r="I138" s="9"/>
      <c r="J138" s="9"/>
      <c r="K138" s="9"/>
      <c r="L138" s="9"/>
      <c r="M138" s="9"/>
      <c r="N138" s="9"/>
      <c r="O138" s="10"/>
      <c r="P138" s="10"/>
      <c r="Q138" s="10"/>
    </row>
    <row r="139" spans="2:17" x14ac:dyDescent="0.25">
      <c r="B139" s="9"/>
      <c r="C139" s="9"/>
      <c r="D139" s="9"/>
      <c r="E139" s="9"/>
      <c r="F139" s="9"/>
      <c r="G139" s="9"/>
      <c r="H139" s="9"/>
      <c r="I139" s="9"/>
      <c r="J139" s="9"/>
      <c r="K139" s="9"/>
      <c r="L139" s="9"/>
      <c r="M139" s="9"/>
      <c r="N139" s="9"/>
      <c r="O139" s="10"/>
      <c r="P139" s="10"/>
      <c r="Q139" s="10"/>
    </row>
    <row r="140" spans="2:17" x14ac:dyDescent="0.25">
      <c r="B140" s="9"/>
      <c r="C140" s="9"/>
      <c r="D140" s="9"/>
      <c r="E140" s="9"/>
      <c r="F140" s="9"/>
      <c r="G140" s="9"/>
      <c r="H140" s="9"/>
      <c r="I140" s="9"/>
      <c r="J140" s="9"/>
      <c r="K140" s="9"/>
      <c r="L140" s="9"/>
      <c r="M140" s="9"/>
      <c r="N140" s="9"/>
      <c r="O140" s="10"/>
      <c r="P140" s="10"/>
      <c r="Q140" s="10"/>
    </row>
    <row r="141" spans="2:17" x14ac:dyDescent="0.25">
      <c r="B141" s="9"/>
      <c r="C141" s="9"/>
      <c r="D141" s="9"/>
      <c r="E141" s="9"/>
      <c r="F141" s="9"/>
      <c r="G141" s="9"/>
      <c r="H141" s="9"/>
      <c r="I141" s="9"/>
      <c r="J141" s="9"/>
      <c r="K141" s="9"/>
      <c r="L141" s="9"/>
      <c r="M141" s="9"/>
      <c r="N141" s="9"/>
      <c r="O141" s="10"/>
      <c r="P141" s="10"/>
      <c r="Q141" s="10"/>
    </row>
    <row r="142" spans="2:17" x14ac:dyDescent="0.25">
      <c r="B142" s="9"/>
      <c r="C142" s="9"/>
      <c r="D142" s="9"/>
      <c r="E142" s="9"/>
      <c r="F142" s="9"/>
      <c r="G142" s="9"/>
      <c r="H142" s="9"/>
      <c r="I142" s="9"/>
      <c r="J142" s="9"/>
      <c r="K142" s="9"/>
      <c r="L142" s="9"/>
      <c r="M142" s="9"/>
      <c r="N142" s="9"/>
      <c r="O142" s="10"/>
      <c r="P142" s="10"/>
      <c r="Q142" s="10"/>
    </row>
    <row r="143" spans="2:17" x14ac:dyDescent="0.25">
      <c r="B143" s="9"/>
      <c r="C143" s="9"/>
      <c r="D143" s="9"/>
      <c r="E143" s="9"/>
      <c r="F143" s="9"/>
      <c r="G143" s="9"/>
      <c r="H143" s="9"/>
      <c r="I143" s="9"/>
      <c r="J143" s="9"/>
      <c r="K143" s="9"/>
      <c r="L143" s="9"/>
      <c r="M143" s="9"/>
      <c r="N143" s="9"/>
      <c r="O143" s="10"/>
      <c r="P143" s="10"/>
      <c r="Q143" s="10"/>
    </row>
    <row r="144" spans="2:17" x14ac:dyDescent="0.25">
      <c r="B144" s="9"/>
      <c r="C144" s="9"/>
      <c r="D144" s="9"/>
      <c r="E144" s="9"/>
      <c r="F144" s="9"/>
      <c r="G144" s="9"/>
      <c r="H144" s="9"/>
      <c r="I144" s="9"/>
      <c r="J144" s="9"/>
      <c r="K144" s="9"/>
      <c r="L144" s="9"/>
      <c r="M144" s="9"/>
      <c r="N144" s="9"/>
      <c r="O144" s="10"/>
      <c r="P144" s="10"/>
      <c r="Q144" s="10"/>
    </row>
    <row r="145" spans="2:17" x14ac:dyDescent="0.25">
      <c r="B145" s="9"/>
      <c r="C145" s="9"/>
      <c r="D145" s="9"/>
      <c r="E145" s="9"/>
      <c r="F145" s="9"/>
      <c r="G145" s="9"/>
      <c r="H145" s="9"/>
      <c r="I145" s="9"/>
      <c r="J145" s="9"/>
      <c r="K145" s="9"/>
      <c r="L145" s="9"/>
      <c r="M145" s="9"/>
      <c r="N145" s="9"/>
      <c r="O145" s="10"/>
      <c r="P145" s="10"/>
      <c r="Q145" s="10"/>
    </row>
    <row r="146" spans="2:17" x14ac:dyDescent="0.25">
      <c r="B146" s="9"/>
      <c r="C146" s="9"/>
      <c r="D146" s="9"/>
      <c r="E146" s="9"/>
      <c r="F146" s="9"/>
      <c r="G146" s="9"/>
      <c r="H146" s="9"/>
      <c r="I146" s="9"/>
      <c r="J146" s="9"/>
      <c r="K146" s="9"/>
      <c r="L146" s="9"/>
      <c r="M146" s="9"/>
      <c r="N146" s="9"/>
      <c r="O146" s="10"/>
      <c r="P146" s="10"/>
      <c r="Q146" s="10"/>
    </row>
    <row r="147" spans="2:17" x14ac:dyDescent="0.25">
      <c r="B147" s="9"/>
      <c r="C147" s="9"/>
      <c r="D147" s="9"/>
      <c r="E147" s="9"/>
      <c r="F147" s="9"/>
      <c r="G147" s="9"/>
      <c r="H147" s="9"/>
      <c r="I147" s="9"/>
      <c r="J147" s="9"/>
      <c r="K147" s="9"/>
      <c r="L147" s="9"/>
      <c r="M147" s="9"/>
      <c r="N147" s="9"/>
      <c r="O147" s="10"/>
      <c r="P147" s="10"/>
      <c r="Q147" s="10"/>
    </row>
    <row r="148" spans="2:17" x14ac:dyDescent="0.25">
      <c r="B148" s="9"/>
      <c r="C148" s="9"/>
      <c r="D148" s="9"/>
      <c r="E148" s="9"/>
      <c r="F148" s="9"/>
      <c r="G148" s="9"/>
      <c r="H148" s="9"/>
      <c r="I148" s="9"/>
      <c r="J148" s="9"/>
      <c r="K148" s="9"/>
      <c r="L148" s="9"/>
      <c r="M148" s="9"/>
      <c r="N148" s="9"/>
      <c r="O148" s="10"/>
      <c r="P148" s="10"/>
      <c r="Q148" s="10"/>
    </row>
    <row r="149" spans="2:17" x14ac:dyDescent="0.25">
      <c r="B149" s="9"/>
      <c r="C149" s="9"/>
      <c r="D149" s="9"/>
      <c r="E149" s="9"/>
      <c r="F149" s="9"/>
      <c r="G149" s="9"/>
      <c r="H149" s="9"/>
      <c r="I149" s="9"/>
      <c r="J149" s="9"/>
      <c r="K149" s="9"/>
      <c r="L149" s="9"/>
      <c r="M149" s="9"/>
      <c r="N149" s="9"/>
      <c r="O149" s="10"/>
      <c r="P149" s="10"/>
      <c r="Q149" s="10"/>
    </row>
    <row r="150" spans="2:17" x14ac:dyDescent="0.25">
      <c r="B150" s="9"/>
      <c r="C150" s="9"/>
      <c r="D150" s="9"/>
      <c r="E150" s="9"/>
      <c r="F150" s="9"/>
      <c r="G150" s="9"/>
      <c r="H150" s="9"/>
      <c r="I150" s="9"/>
      <c r="J150" s="9"/>
      <c r="K150" s="9"/>
      <c r="L150" s="9"/>
      <c r="M150" s="9"/>
      <c r="N150" s="9"/>
      <c r="O150" s="10"/>
      <c r="P150" s="10"/>
      <c r="Q150" s="10"/>
    </row>
    <row r="151" spans="2:17" x14ac:dyDescent="0.25">
      <c r="B151" s="9"/>
      <c r="C151" s="9"/>
      <c r="D151" s="9"/>
      <c r="E151" s="9"/>
      <c r="F151" s="9"/>
      <c r="G151" s="9"/>
      <c r="H151" s="9"/>
      <c r="I151" s="9"/>
      <c r="J151" s="9"/>
      <c r="K151" s="9"/>
      <c r="L151" s="9"/>
      <c r="M151" s="9"/>
      <c r="N151" s="9"/>
      <c r="O151" s="10"/>
      <c r="P151" s="10"/>
      <c r="Q151" s="10"/>
    </row>
    <row r="152" spans="2:17" x14ac:dyDescent="0.25">
      <c r="B152" s="9"/>
      <c r="C152" s="9"/>
      <c r="D152" s="9"/>
      <c r="E152" s="9"/>
      <c r="F152" s="9"/>
      <c r="G152" s="9"/>
      <c r="H152" s="9"/>
      <c r="I152" s="9"/>
      <c r="J152" s="9"/>
      <c r="K152" s="9"/>
      <c r="L152" s="9"/>
      <c r="M152" s="9"/>
      <c r="N152" s="9"/>
      <c r="O152" s="10"/>
      <c r="P152" s="10"/>
      <c r="Q152" s="10"/>
    </row>
    <row r="153" spans="2:17" x14ac:dyDescent="0.25">
      <c r="B153" s="9"/>
      <c r="C153" s="9"/>
      <c r="D153" s="9"/>
      <c r="E153" s="9"/>
      <c r="F153" s="9"/>
      <c r="G153" s="9"/>
      <c r="H153" s="9"/>
      <c r="I153" s="9"/>
      <c r="J153" s="9"/>
      <c r="K153" s="9"/>
      <c r="L153" s="9"/>
      <c r="M153" s="9"/>
      <c r="N153" s="9"/>
      <c r="O153" s="10"/>
      <c r="P153" s="10"/>
      <c r="Q153" s="10"/>
    </row>
    <row r="154" spans="2:17" x14ac:dyDescent="0.25">
      <c r="B154" s="9"/>
      <c r="C154" s="9"/>
      <c r="D154" s="9"/>
      <c r="E154" s="9"/>
      <c r="F154" s="9"/>
      <c r="G154" s="9"/>
      <c r="H154" s="9"/>
      <c r="I154" s="9"/>
      <c r="J154" s="9"/>
      <c r="K154" s="9"/>
      <c r="L154" s="9"/>
      <c r="M154" s="9"/>
      <c r="N154" s="9"/>
      <c r="O154" s="10"/>
      <c r="P154" s="10"/>
      <c r="Q154" s="10"/>
    </row>
    <row r="155" spans="2:17" x14ac:dyDescent="0.25">
      <c r="B155" s="9"/>
      <c r="C155" s="9"/>
      <c r="D155" s="9"/>
      <c r="E155" s="9"/>
      <c r="F155" s="9"/>
      <c r="G155" s="9"/>
      <c r="H155" s="9"/>
      <c r="I155" s="9"/>
      <c r="J155" s="9"/>
      <c r="K155" s="9"/>
      <c r="L155" s="9"/>
      <c r="M155" s="9"/>
      <c r="N155" s="9"/>
      <c r="O155" s="10"/>
      <c r="P155" s="10"/>
      <c r="Q155" s="10"/>
    </row>
    <row r="156" spans="2:17" x14ac:dyDescent="0.25">
      <c r="B156" s="9"/>
      <c r="C156" s="9"/>
      <c r="D156" s="9"/>
      <c r="E156" s="9"/>
      <c r="F156" s="9"/>
      <c r="G156" s="9"/>
      <c r="H156" s="9"/>
      <c r="I156" s="9"/>
      <c r="J156" s="9"/>
      <c r="K156" s="9"/>
      <c r="L156" s="9"/>
      <c r="M156" s="9"/>
      <c r="N156" s="9"/>
      <c r="O156" s="10"/>
      <c r="P156" s="10"/>
      <c r="Q156" s="10"/>
    </row>
    <row r="157" spans="2:17" x14ac:dyDescent="0.25">
      <c r="B157" s="9"/>
      <c r="C157" s="9"/>
      <c r="D157" s="9"/>
      <c r="E157" s="9"/>
      <c r="F157" s="9"/>
      <c r="G157" s="9"/>
      <c r="H157" s="9"/>
      <c r="I157" s="9"/>
      <c r="J157" s="9"/>
      <c r="K157" s="9"/>
      <c r="L157" s="9"/>
      <c r="M157" s="9"/>
      <c r="N157" s="9"/>
      <c r="O157" s="10"/>
      <c r="P157" s="10"/>
      <c r="Q157" s="10"/>
    </row>
    <row r="158" spans="2:17" x14ac:dyDescent="0.25">
      <c r="B158" s="9"/>
      <c r="C158" s="9"/>
      <c r="D158" s="9"/>
      <c r="E158" s="9"/>
      <c r="F158" s="9"/>
      <c r="G158" s="9"/>
      <c r="H158" s="9"/>
      <c r="I158" s="9"/>
      <c r="J158" s="9"/>
      <c r="K158" s="9"/>
      <c r="L158" s="9"/>
      <c r="M158" s="9"/>
      <c r="N158" s="9"/>
      <c r="O158" s="10"/>
      <c r="P158" s="10"/>
      <c r="Q158" s="10"/>
    </row>
    <row r="159" spans="2:17" x14ac:dyDescent="0.25">
      <c r="B159" s="9"/>
      <c r="C159" s="9"/>
      <c r="D159" s="9"/>
      <c r="E159" s="9"/>
      <c r="F159" s="9"/>
      <c r="G159" s="9"/>
      <c r="H159" s="9"/>
      <c r="I159" s="9"/>
      <c r="J159" s="9"/>
      <c r="K159" s="9"/>
      <c r="L159" s="9"/>
      <c r="M159" s="9"/>
      <c r="N159" s="9"/>
      <c r="O159" s="10"/>
      <c r="P159" s="10"/>
      <c r="Q159" s="10"/>
    </row>
    <row r="160" spans="2:17" x14ac:dyDescent="0.25">
      <c r="B160" s="9"/>
      <c r="C160" s="9"/>
      <c r="D160" s="9"/>
      <c r="E160" s="9"/>
      <c r="F160" s="9"/>
      <c r="G160" s="9"/>
      <c r="H160" s="9"/>
      <c r="I160" s="9"/>
      <c r="J160" s="9"/>
      <c r="K160" s="9"/>
      <c r="L160" s="9"/>
      <c r="M160" s="9"/>
      <c r="N160" s="9"/>
      <c r="O160" s="10"/>
      <c r="P160" s="10"/>
      <c r="Q160" s="10"/>
    </row>
    <row r="161" spans="2:17" x14ac:dyDescent="0.25">
      <c r="B161" s="9"/>
      <c r="C161" s="9"/>
      <c r="D161" s="9"/>
      <c r="E161" s="9"/>
      <c r="F161" s="9"/>
      <c r="G161" s="9"/>
      <c r="H161" s="9"/>
      <c r="I161" s="9"/>
      <c r="J161" s="9"/>
      <c r="K161" s="9"/>
      <c r="L161" s="9"/>
      <c r="M161" s="9"/>
      <c r="N161" s="9"/>
      <c r="O161" s="10"/>
      <c r="P161" s="10"/>
      <c r="Q161" s="10"/>
    </row>
    <row r="162" spans="2:17" x14ac:dyDescent="0.25">
      <c r="B162" s="9"/>
      <c r="C162" s="9"/>
      <c r="D162" s="9"/>
      <c r="E162" s="9"/>
      <c r="F162" s="9"/>
      <c r="G162" s="9"/>
      <c r="H162" s="9"/>
      <c r="I162" s="9"/>
      <c r="J162" s="9"/>
      <c r="K162" s="9"/>
      <c r="L162" s="9"/>
      <c r="M162" s="9"/>
      <c r="N162" s="9"/>
      <c r="O162" s="10"/>
      <c r="P162" s="10"/>
      <c r="Q162" s="10"/>
    </row>
    <row r="163" spans="2:17" x14ac:dyDescent="0.25">
      <c r="B163" s="9"/>
      <c r="C163" s="9"/>
      <c r="D163" s="9"/>
      <c r="E163" s="9"/>
      <c r="F163" s="9"/>
      <c r="G163" s="9"/>
      <c r="H163" s="9"/>
      <c r="I163" s="9"/>
      <c r="J163" s="9"/>
      <c r="K163" s="9"/>
      <c r="L163" s="9"/>
      <c r="M163" s="9"/>
      <c r="N163" s="9"/>
      <c r="O163" s="10"/>
      <c r="P163" s="10"/>
      <c r="Q163" s="10"/>
    </row>
    <row r="164" spans="2:17" x14ac:dyDescent="0.25">
      <c r="B164" s="9"/>
      <c r="C164" s="9"/>
      <c r="D164" s="9"/>
      <c r="E164" s="9"/>
      <c r="F164" s="9"/>
      <c r="G164" s="9"/>
      <c r="H164" s="9"/>
      <c r="I164" s="9"/>
      <c r="J164" s="9"/>
      <c r="K164" s="9"/>
      <c r="L164" s="9"/>
      <c r="M164" s="9"/>
      <c r="N164" s="9"/>
      <c r="O164" s="10"/>
      <c r="P164" s="10"/>
      <c r="Q164" s="10"/>
    </row>
    <row r="165" spans="2:17" x14ac:dyDescent="0.25">
      <c r="B165" s="9"/>
      <c r="C165" s="9"/>
      <c r="D165" s="9"/>
      <c r="E165" s="9"/>
      <c r="F165" s="9"/>
      <c r="G165" s="9"/>
      <c r="H165" s="9"/>
      <c r="I165" s="9"/>
      <c r="J165" s="9"/>
      <c r="K165" s="9"/>
      <c r="L165" s="9"/>
      <c r="M165" s="9"/>
      <c r="N165" s="9"/>
      <c r="O165" s="10"/>
      <c r="P165" s="10"/>
      <c r="Q165" s="10"/>
    </row>
    <row r="166" spans="2:17" x14ac:dyDescent="0.25">
      <c r="B166" s="9"/>
      <c r="C166" s="9"/>
      <c r="D166" s="9"/>
      <c r="E166" s="9"/>
      <c r="F166" s="9"/>
      <c r="G166" s="9"/>
      <c r="H166" s="9"/>
      <c r="I166" s="9"/>
      <c r="J166" s="9"/>
      <c r="K166" s="9"/>
      <c r="L166" s="9"/>
      <c r="M166" s="9"/>
      <c r="N166" s="9"/>
      <c r="O166" s="10"/>
      <c r="P166" s="10"/>
      <c r="Q166" s="10"/>
    </row>
    <row r="167" spans="2:17" x14ac:dyDescent="0.25">
      <c r="B167" s="9"/>
      <c r="C167" s="9"/>
      <c r="D167" s="9"/>
      <c r="E167" s="9"/>
      <c r="F167" s="9"/>
      <c r="G167" s="9"/>
      <c r="H167" s="9"/>
      <c r="I167" s="9"/>
      <c r="J167" s="9"/>
      <c r="K167" s="9"/>
      <c r="L167" s="9"/>
      <c r="M167" s="9"/>
      <c r="N167" s="9"/>
      <c r="O167" s="10"/>
      <c r="P167" s="10"/>
      <c r="Q167" s="10"/>
    </row>
    <row r="168" spans="2:17" x14ac:dyDescent="0.25">
      <c r="B168" s="9"/>
      <c r="C168" s="9"/>
      <c r="D168" s="9"/>
      <c r="E168" s="9"/>
      <c r="F168" s="9"/>
      <c r="G168" s="9"/>
      <c r="H168" s="9"/>
      <c r="I168" s="9"/>
      <c r="J168" s="9"/>
      <c r="K168" s="9"/>
      <c r="L168" s="9"/>
      <c r="M168" s="9"/>
      <c r="N168" s="9"/>
      <c r="O168" s="10"/>
      <c r="P168" s="10"/>
      <c r="Q168" s="10"/>
    </row>
    <row r="169" spans="2:17" x14ac:dyDescent="0.25">
      <c r="B169" s="9"/>
      <c r="C169" s="9"/>
      <c r="D169" s="9"/>
      <c r="E169" s="9"/>
      <c r="F169" s="9"/>
      <c r="G169" s="9"/>
      <c r="H169" s="9"/>
      <c r="I169" s="9"/>
      <c r="J169" s="9"/>
      <c r="K169" s="9"/>
      <c r="L169" s="9"/>
      <c r="M169" s="9"/>
      <c r="N169" s="9"/>
      <c r="O169" s="10"/>
      <c r="P169" s="10"/>
      <c r="Q169" s="10"/>
    </row>
    <row r="170" spans="2:17" x14ac:dyDescent="0.25">
      <c r="B170" s="9"/>
      <c r="C170" s="9"/>
      <c r="D170" s="9"/>
      <c r="E170" s="9"/>
      <c r="F170" s="9"/>
      <c r="G170" s="9"/>
      <c r="H170" s="9"/>
      <c r="I170" s="9"/>
      <c r="J170" s="9"/>
      <c r="K170" s="9"/>
      <c r="L170" s="9"/>
      <c r="M170" s="9"/>
      <c r="N170" s="9"/>
      <c r="O170" s="10"/>
      <c r="P170" s="10"/>
      <c r="Q170" s="10"/>
    </row>
    <row r="171" spans="2:17" x14ac:dyDescent="0.25">
      <c r="B171" s="9"/>
      <c r="C171" s="9"/>
      <c r="D171" s="9"/>
      <c r="E171" s="9"/>
      <c r="F171" s="9"/>
      <c r="G171" s="9"/>
      <c r="H171" s="9"/>
      <c r="I171" s="9"/>
      <c r="J171" s="9"/>
      <c r="K171" s="9"/>
      <c r="L171" s="9"/>
      <c r="M171" s="9"/>
      <c r="N171" s="9"/>
      <c r="O171" s="10"/>
      <c r="P171" s="10"/>
      <c r="Q171" s="10"/>
    </row>
    <row r="172" spans="2:17" x14ac:dyDescent="0.25">
      <c r="B172" s="9"/>
      <c r="C172" s="9"/>
      <c r="D172" s="9"/>
      <c r="E172" s="9"/>
      <c r="F172" s="9"/>
      <c r="G172" s="9"/>
      <c r="H172" s="9"/>
      <c r="I172" s="9"/>
      <c r="J172" s="9"/>
      <c r="K172" s="9"/>
      <c r="L172" s="9"/>
      <c r="M172" s="9"/>
      <c r="N172" s="9"/>
      <c r="O172" s="10"/>
      <c r="P172" s="10"/>
      <c r="Q172" s="10"/>
    </row>
    <row r="173" spans="2:17" x14ac:dyDescent="0.25">
      <c r="B173" s="9"/>
      <c r="C173" s="9"/>
      <c r="D173" s="9"/>
      <c r="E173" s="9"/>
      <c r="F173" s="9"/>
      <c r="G173" s="9"/>
      <c r="H173" s="9"/>
      <c r="I173" s="9"/>
      <c r="J173" s="9"/>
      <c r="K173" s="9"/>
      <c r="L173" s="9"/>
      <c r="M173" s="9"/>
      <c r="N173" s="9"/>
      <c r="O173" s="10"/>
      <c r="P173" s="10"/>
      <c r="Q173" s="10"/>
    </row>
    <row r="174" spans="2:17" x14ac:dyDescent="0.25">
      <c r="B174" s="9"/>
      <c r="C174" s="9"/>
      <c r="D174" s="9"/>
      <c r="E174" s="9"/>
      <c r="F174" s="9"/>
      <c r="G174" s="9"/>
      <c r="H174" s="9"/>
      <c r="I174" s="9"/>
      <c r="J174" s="9"/>
      <c r="K174" s="9"/>
      <c r="L174" s="9"/>
      <c r="M174" s="9"/>
      <c r="N174" s="9"/>
      <c r="O174" s="10"/>
      <c r="P174" s="10"/>
      <c r="Q174" s="10"/>
    </row>
    <row r="175" spans="2:17" x14ac:dyDescent="0.25">
      <c r="B175" s="9"/>
      <c r="C175" s="9"/>
      <c r="D175" s="9"/>
      <c r="E175" s="9"/>
      <c r="F175" s="9"/>
      <c r="G175" s="9"/>
      <c r="H175" s="9"/>
      <c r="I175" s="9"/>
      <c r="J175" s="9"/>
      <c r="K175" s="9"/>
      <c r="L175" s="9"/>
      <c r="M175" s="9"/>
      <c r="N175" s="9"/>
      <c r="O175" s="10"/>
      <c r="P175" s="10"/>
      <c r="Q175" s="10"/>
    </row>
    <row r="176" spans="2:17" x14ac:dyDescent="0.25">
      <c r="B176" s="9"/>
      <c r="C176" s="9"/>
      <c r="D176" s="9"/>
      <c r="E176" s="9"/>
      <c r="F176" s="9"/>
      <c r="G176" s="9"/>
      <c r="H176" s="9"/>
      <c r="I176" s="9"/>
      <c r="J176" s="9"/>
      <c r="K176" s="9"/>
      <c r="L176" s="9"/>
      <c r="M176" s="9"/>
      <c r="N176" s="9"/>
      <c r="O176" s="10"/>
      <c r="P176" s="10"/>
      <c r="Q176" s="10"/>
    </row>
    <row r="177" spans="2:17" x14ac:dyDescent="0.25">
      <c r="B177" s="9"/>
      <c r="C177" s="9"/>
      <c r="D177" s="9"/>
      <c r="E177" s="9"/>
      <c r="F177" s="9"/>
      <c r="G177" s="9"/>
      <c r="H177" s="9"/>
      <c r="I177" s="9"/>
      <c r="J177" s="9"/>
      <c r="K177" s="9"/>
      <c r="L177" s="9"/>
      <c r="M177" s="9"/>
      <c r="N177" s="9"/>
      <c r="O177" s="10"/>
      <c r="P177" s="10"/>
      <c r="Q177" s="10"/>
    </row>
    <row r="178" spans="2:17" x14ac:dyDescent="0.25">
      <c r="B178" s="9"/>
      <c r="C178" s="9"/>
      <c r="D178" s="9"/>
      <c r="E178" s="9"/>
      <c r="F178" s="9"/>
      <c r="G178" s="9"/>
      <c r="H178" s="9"/>
      <c r="I178" s="9"/>
      <c r="J178" s="9"/>
      <c r="K178" s="9"/>
      <c r="L178" s="9"/>
      <c r="M178" s="9"/>
      <c r="N178" s="9"/>
      <c r="O178" s="10"/>
      <c r="P178" s="10"/>
      <c r="Q178" s="10"/>
    </row>
    <row r="179" spans="2:17" x14ac:dyDescent="0.25">
      <c r="B179" s="9"/>
      <c r="C179" s="9"/>
      <c r="D179" s="9"/>
      <c r="E179" s="9"/>
      <c r="F179" s="9"/>
      <c r="G179" s="9"/>
      <c r="H179" s="9"/>
      <c r="I179" s="9"/>
      <c r="J179" s="9"/>
      <c r="K179" s="9"/>
      <c r="L179" s="9"/>
      <c r="M179" s="9"/>
      <c r="N179" s="9"/>
      <c r="O179" s="10"/>
      <c r="P179" s="10"/>
      <c r="Q179" s="10"/>
    </row>
    <row r="180" spans="2:17" x14ac:dyDescent="0.25">
      <c r="B180" s="9"/>
      <c r="C180" s="9"/>
      <c r="D180" s="9"/>
      <c r="E180" s="9"/>
      <c r="F180" s="9"/>
      <c r="G180" s="9"/>
      <c r="H180" s="9"/>
      <c r="I180" s="9"/>
      <c r="J180" s="9"/>
      <c r="K180" s="9"/>
      <c r="L180" s="9"/>
      <c r="M180" s="9"/>
      <c r="N180" s="9"/>
      <c r="O180" s="10"/>
      <c r="P180" s="10"/>
      <c r="Q180" s="10"/>
    </row>
  </sheetData>
  <mergeCells count="1">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tabColor indexed="48"/>
    <outlinePr applyStyles="1" summaryBelow="0"/>
    <pageSetUpPr fitToPage="1"/>
  </sheetPr>
  <dimension ref="A2:S245"/>
  <sheetViews>
    <sheetView workbookViewId="0">
      <selection activeCell="A3" sqref="A3:D3"/>
    </sheetView>
  </sheetViews>
  <sheetFormatPr defaultColWidth="9.1796875" defaultRowHeight="13" outlineLevelRow="1" x14ac:dyDescent="0.3"/>
  <cols>
    <col min="1" max="1" width="66" style="21" bestFit="1" customWidth="1"/>
    <col min="2" max="2" width="18" style="22" customWidth="1"/>
    <col min="3" max="3" width="17.4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31.12.2024</v>
      </c>
      <c r="B2" s="280"/>
      <c r="C2" s="280"/>
      <c r="D2" s="280"/>
      <c r="E2" s="25"/>
      <c r="F2" s="25"/>
      <c r="G2" s="25"/>
      <c r="H2" s="25"/>
      <c r="I2" s="25"/>
      <c r="J2" s="25"/>
      <c r="K2" s="25"/>
      <c r="L2" s="25"/>
      <c r="M2" s="25"/>
      <c r="N2" s="25"/>
      <c r="O2" s="25"/>
      <c r="P2" s="25"/>
      <c r="Q2" s="25"/>
      <c r="R2" s="25"/>
      <c r="S2" s="25"/>
    </row>
    <row r="3" spans="1:19" ht="18.5" x14ac:dyDescent="0.45">
      <c r="A3" s="282" t="str">
        <f>IF(REPORT_LANG="UKR","(за видами відсоткових ставок)","by interest rate types")</f>
        <v>(за видами відсоткових ставок)</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69" customFormat="1" x14ac:dyDescent="0.3">
      <c r="A6" s="11"/>
      <c r="B6" s="142" t="str">
        <f>IF(REPORT_LANG="UKR","дол.США","USD")</f>
        <v>дол.США</v>
      </c>
      <c r="C6" s="142" t="str">
        <f>IF(REPORT_LANG="UKR","грн.","UAH")</f>
        <v>грн.</v>
      </c>
      <c r="D6" s="68" t="s">
        <v>0</v>
      </c>
      <c r="E6" s="13"/>
      <c r="F6" s="13"/>
      <c r="G6" s="13"/>
      <c r="H6" s="13"/>
      <c r="I6" s="13"/>
      <c r="J6" s="13"/>
      <c r="K6" s="13"/>
      <c r="L6" s="13"/>
      <c r="M6" s="13"/>
      <c r="N6" s="13"/>
      <c r="O6" s="13"/>
      <c r="P6" s="13"/>
      <c r="Q6" s="13"/>
      <c r="R6" s="13"/>
      <c r="S6" s="13"/>
    </row>
    <row r="7" spans="1:19" s="134" customFormat="1" ht="15.5" x14ac:dyDescent="0.3">
      <c r="A7"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7" s="118">
        <f>SUM(B8:B19)</f>
        <v>166.05851744312</v>
      </c>
      <c r="C7" s="118">
        <f>SUM(C8:C19)</f>
        <v>6980.93401478539</v>
      </c>
      <c r="D7" s="119">
        <f>SUM(D8:D19)</f>
        <v>1.0000020000000001</v>
      </c>
    </row>
    <row r="8" spans="1:19" s="70" customFormat="1" outlineLevel="1" x14ac:dyDescent="0.3">
      <c r="A8" s="162" t="s">
        <v>181</v>
      </c>
      <c r="B8" s="160">
        <v>6.3168314976</v>
      </c>
      <c r="C8" s="160">
        <v>265.55327932928998</v>
      </c>
      <c r="D8" s="163">
        <v>3.8039999999999997E-2</v>
      </c>
    </row>
    <row r="9" spans="1:19" s="70" customFormat="1" outlineLevel="1" x14ac:dyDescent="0.3">
      <c r="A9" s="162" t="s">
        <v>182</v>
      </c>
      <c r="B9" s="160">
        <v>21.028241161610001</v>
      </c>
      <c r="C9" s="160">
        <v>884.00623019295995</v>
      </c>
      <c r="D9" s="163">
        <v>0.12663199999999999</v>
      </c>
    </row>
    <row r="10" spans="1:19" s="70" customFormat="1" outlineLevel="1" x14ac:dyDescent="0.3">
      <c r="A10" s="162" t="s">
        <v>183</v>
      </c>
      <c r="B10" s="160">
        <v>0.16700042806000001</v>
      </c>
      <c r="C10" s="160">
        <v>7.0205309950499997</v>
      </c>
      <c r="D10" s="163">
        <v>1.0059999999999999E-3</v>
      </c>
    </row>
    <row r="11" spans="1:19" outlineLevel="1" x14ac:dyDescent="0.3">
      <c r="A11" s="240" t="s">
        <v>184</v>
      </c>
      <c r="B11" s="175">
        <v>0.84658439538999997</v>
      </c>
      <c r="C11" s="175">
        <v>35.589561397920001</v>
      </c>
      <c r="D11" s="197">
        <v>5.0980000000000001E-3</v>
      </c>
      <c r="E11" s="25"/>
      <c r="F11" s="25"/>
      <c r="G11" s="25"/>
      <c r="H11" s="25"/>
      <c r="I11" s="25"/>
      <c r="J11" s="25"/>
      <c r="K11" s="25"/>
      <c r="L11" s="25"/>
      <c r="M11" s="25"/>
      <c r="N11" s="25"/>
      <c r="O11" s="25"/>
      <c r="P11" s="25"/>
      <c r="Q11" s="25"/>
    </row>
    <row r="12" spans="1:19" outlineLevel="1" x14ac:dyDescent="0.3">
      <c r="A12" s="240" t="s">
        <v>185</v>
      </c>
      <c r="B12" s="175">
        <v>3.4532918243499999</v>
      </c>
      <c r="C12" s="175">
        <v>145.172935</v>
      </c>
      <c r="D12" s="197">
        <v>2.0795999999999999E-2</v>
      </c>
      <c r="E12" s="25"/>
      <c r="F12" s="25"/>
      <c r="G12" s="25"/>
      <c r="H12" s="25"/>
      <c r="I12" s="25"/>
      <c r="J12" s="25"/>
      <c r="K12" s="25"/>
      <c r="L12" s="25"/>
      <c r="M12" s="25"/>
      <c r="N12" s="25"/>
      <c r="O12" s="25"/>
      <c r="P12" s="25"/>
      <c r="Q12" s="25"/>
    </row>
    <row r="13" spans="1:19" outlineLevel="1" x14ac:dyDescent="0.3">
      <c r="A13" s="240" t="s">
        <v>186</v>
      </c>
      <c r="B13" s="175">
        <v>6.92263601288</v>
      </c>
      <c r="C13" s="175">
        <v>291.02069534536002</v>
      </c>
      <c r="D13" s="197">
        <v>4.1688000000000003E-2</v>
      </c>
      <c r="E13" s="25"/>
      <c r="F13" s="25"/>
      <c r="G13" s="25"/>
      <c r="H13" s="25"/>
      <c r="I13" s="25"/>
      <c r="J13" s="25"/>
      <c r="K13" s="25"/>
      <c r="L13" s="25"/>
      <c r="M13" s="25"/>
      <c r="N13" s="25"/>
      <c r="O13" s="25"/>
      <c r="P13" s="25"/>
      <c r="Q13" s="25"/>
    </row>
    <row r="14" spans="1:19" outlineLevel="1" x14ac:dyDescent="0.3">
      <c r="A14" s="240" t="s">
        <v>187</v>
      </c>
      <c r="B14" s="175">
        <v>18.916013072719998</v>
      </c>
      <c r="C14" s="175">
        <v>795.21027356530999</v>
      </c>
      <c r="D14" s="197">
        <v>0.113912</v>
      </c>
      <c r="E14" s="25"/>
      <c r="F14" s="25"/>
      <c r="G14" s="25"/>
      <c r="H14" s="25"/>
      <c r="I14" s="25"/>
      <c r="J14" s="25"/>
      <c r="K14" s="25"/>
      <c r="L14" s="25"/>
      <c r="M14" s="25"/>
      <c r="N14" s="25"/>
      <c r="O14" s="25"/>
      <c r="P14" s="25"/>
      <c r="Q14" s="25"/>
    </row>
    <row r="15" spans="1:19" outlineLevel="1" x14ac:dyDescent="0.3">
      <c r="A15" s="240" t="s">
        <v>188</v>
      </c>
      <c r="B15" s="175">
        <v>0.44632774571</v>
      </c>
      <c r="C15" s="175">
        <v>18.763172101190001</v>
      </c>
      <c r="D15" s="197">
        <v>2.6879999999999999E-3</v>
      </c>
      <c r="E15" s="25"/>
      <c r="F15" s="25"/>
      <c r="G15" s="25"/>
      <c r="H15" s="25"/>
      <c r="I15" s="25"/>
      <c r="J15" s="25"/>
      <c r="K15" s="25"/>
      <c r="L15" s="25"/>
      <c r="M15" s="25"/>
      <c r="N15" s="25"/>
      <c r="O15" s="25"/>
      <c r="P15" s="25"/>
      <c r="Q15" s="25"/>
    </row>
    <row r="16" spans="1:19" outlineLevel="1" x14ac:dyDescent="0.3">
      <c r="A16" s="240" t="s">
        <v>189</v>
      </c>
      <c r="B16" s="175">
        <v>107.9615913048</v>
      </c>
      <c r="C16" s="175">
        <v>4538.59733685831</v>
      </c>
      <c r="D16" s="197">
        <v>0.650142</v>
      </c>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indexed="48"/>
    <outlinePr applyStyles="1" summaryBelow="0"/>
    <pageSetUpPr fitToPage="1"/>
  </sheetPr>
  <dimension ref="A2:S251"/>
  <sheetViews>
    <sheetView topLeftCell="A4" workbookViewId="0">
      <selection activeCell="A4" sqref="A4"/>
    </sheetView>
  </sheetViews>
  <sheetFormatPr defaultColWidth="9.1796875" defaultRowHeight="13" outlineLevelRow="2" x14ac:dyDescent="0.3"/>
  <cols>
    <col min="1" max="1" width="66" style="21" bestFit="1" customWidth="1"/>
    <col min="2" max="2" width="17.7265625" style="22" customWidth="1"/>
    <col min="3" max="3" width="17.81640625" style="22" customWidth="1"/>
    <col min="4" max="4" width="11.453125" style="71" bestFit="1" customWidth="1"/>
    <col min="5" max="5" width="9.1796875" style="21" customWidth="1"/>
    <col min="6" max="16384" width="9.1796875" style="21"/>
  </cols>
  <sheetData>
    <row r="2" spans="1:19" ht="37.5" customHeight="1" x14ac:dyDescent="0.45">
      <c r="A2" s="279" t="str">
        <f>DEBT_AS_OF_DATE</f>
        <v>Державний та гарантований державою борг України
станом на 31.12.2024</v>
      </c>
      <c r="B2" s="280"/>
      <c r="C2" s="280"/>
      <c r="D2" s="280"/>
      <c r="E2" s="25"/>
      <c r="F2" s="25"/>
      <c r="G2" s="25"/>
      <c r="H2" s="25"/>
      <c r="I2" s="25"/>
      <c r="J2" s="25"/>
      <c r="K2" s="25"/>
      <c r="L2" s="25"/>
      <c r="M2" s="25"/>
      <c r="N2" s="25"/>
      <c r="O2" s="25"/>
      <c r="P2" s="25"/>
      <c r="Q2" s="25"/>
      <c r="R2" s="25"/>
      <c r="S2" s="25"/>
    </row>
    <row r="3" spans="1:19" ht="18.5" x14ac:dyDescent="0.45">
      <c r="A3" s="282" t="str">
        <f>BY_INTEREST_RATE</f>
        <v>(за видами відсоткових ставок)</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A5" s="72"/>
      <c r="B5" s="27"/>
      <c r="C5" s="27"/>
      <c r="D5" s="26" t="str">
        <f>VALVAL</f>
        <v>млрд. одиниць</v>
      </c>
    </row>
    <row r="6" spans="1:19" s="13" customFormat="1" x14ac:dyDescent="0.25">
      <c r="A6" s="73"/>
      <c r="B6" s="67" t="str">
        <f>USD</f>
        <v>дол.США</v>
      </c>
      <c r="C6" s="67" t="str">
        <f>UAH</f>
        <v>грн.</v>
      </c>
      <c r="D6" s="68" t="s">
        <v>0</v>
      </c>
    </row>
    <row r="7" spans="1:19" s="129" customFormat="1" ht="15.5" x14ac:dyDescent="0.25">
      <c r="A7" s="141" t="str">
        <f>DEBT_TOTAL</f>
        <v>Загальна сума державного та гарантованого державою боргу</v>
      </c>
      <c r="B7" s="118">
        <f>SUM(B8:B18)</f>
        <v>166.05851744312</v>
      </c>
      <c r="C7" s="118">
        <f>SUM(C8:C18)</f>
        <v>6980.93401478539</v>
      </c>
      <c r="D7" s="119">
        <f>SUM(D8:D18)</f>
        <v>1.0000020000000001</v>
      </c>
    </row>
    <row r="8" spans="1:19" s="37" customFormat="1" outlineLevel="1" x14ac:dyDescent="0.25">
      <c r="A8" s="159" t="s">
        <v>181</v>
      </c>
      <c r="B8" s="165">
        <v>6.3168314976</v>
      </c>
      <c r="C8" s="165">
        <v>265.55327932928998</v>
      </c>
      <c r="D8" s="229">
        <v>3.8039999999999997E-2</v>
      </c>
    </row>
    <row r="9" spans="1:19" s="37" customFormat="1" outlineLevel="1" x14ac:dyDescent="0.25">
      <c r="A9" s="159" t="s">
        <v>182</v>
      </c>
      <c r="B9" s="165">
        <v>21.028241161610001</v>
      </c>
      <c r="C9" s="165">
        <v>884.00623019295995</v>
      </c>
      <c r="D9" s="229">
        <v>0.12663199999999999</v>
      </c>
    </row>
    <row r="10" spans="1:19" s="37" customFormat="1" outlineLevel="1" x14ac:dyDescent="0.25">
      <c r="A10" s="159" t="s">
        <v>183</v>
      </c>
      <c r="B10" s="165">
        <v>0.16700042806000001</v>
      </c>
      <c r="C10" s="165">
        <v>7.0205309950499997</v>
      </c>
      <c r="D10" s="229">
        <v>1.0059999999999999E-3</v>
      </c>
    </row>
    <row r="11" spans="1:19" outlineLevel="1" x14ac:dyDescent="0.3">
      <c r="A11" s="245" t="s">
        <v>184</v>
      </c>
      <c r="B11" s="175">
        <v>0.84658439538999997</v>
      </c>
      <c r="C11" s="175">
        <v>35.589561397920001</v>
      </c>
      <c r="D11" s="197">
        <v>5.0980000000000001E-3</v>
      </c>
      <c r="E11" s="25"/>
      <c r="F11" s="25"/>
      <c r="G11" s="25"/>
      <c r="H11" s="25"/>
      <c r="I11" s="25"/>
      <c r="J11" s="25"/>
      <c r="K11" s="25"/>
      <c r="L11" s="25"/>
      <c r="M11" s="25"/>
      <c r="N11" s="25"/>
      <c r="O11" s="25"/>
      <c r="P11" s="25"/>
      <c r="Q11" s="25"/>
    </row>
    <row r="12" spans="1:19" outlineLevel="1" x14ac:dyDescent="0.3">
      <c r="A12" s="245" t="s">
        <v>185</v>
      </c>
      <c r="B12" s="175">
        <v>3.4532918243499999</v>
      </c>
      <c r="C12" s="175">
        <v>145.172935</v>
      </c>
      <c r="D12" s="197">
        <v>2.0795999999999999E-2</v>
      </c>
      <c r="E12" s="25"/>
      <c r="F12" s="25"/>
      <c r="G12" s="25"/>
      <c r="H12" s="25"/>
      <c r="I12" s="25"/>
      <c r="J12" s="25"/>
      <c r="K12" s="25"/>
      <c r="L12" s="25"/>
      <c r="M12" s="25"/>
      <c r="N12" s="25"/>
      <c r="O12" s="25"/>
      <c r="P12" s="25"/>
      <c r="Q12" s="25"/>
    </row>
    <row r="13" spans="1:19" outlineLevel="1" x14ac:dyDescent="0.3">
      <c r="A13" s="245" t="s">
        <v>186</v>
      </c>
      <c r="B13" s="175">
        <v>6.92263601288</v>
      </c>
      <c r="C13" s="175">
        <v>291.02069534536002</v>
      </c>
      <c r="D13" s="197">
        <v>4.1688000000000003E-2</v>
      </c>
      <c r="E13" s="25"/>
      <c r="F13" s="25"/>
      <c r="G13" s="25"/>
      <c r="H13" s="25"/>
      <c r="I13" s="25"/>
      <c r="J13" s="25"/>
      <c r="K13" s="25"/>
      <c r="L13" s="25"/>
      <c r="M13" s="25"/>
      <c r="N13" s="25"/>
      <c r="O13" s="25"/>
      <c r="P13" s="25"/>
      <c r="Q13" s="25"/>
    </row>
    <row r="14" spans="1:19" outlineLevel="1" x14ac:dyDescent="0.3">
      <c r="A14" s="245" t="s">
        <v>187</v>
      </c>
      <c r="B14" s="175">
        <v>18.916013072719998</v>
      </c>
      <c r="C14" s="175">
        <v>795.21027356530999</v>
      </c>
      <c r="D14" s="197">
        <v>0.113912</v>
      </c>
      <c r="E14" s="25"/>
      <c r="F14" s="25"/>
      <c r="G14" s="25"/>
      <c r="H14" s="25"/>
      <c r="I14" s="25"/>
      <c r="J14" s="25"/>
      <c r="K14" s="25"/>
      <c r="L14" s="25"/>
      <c r="M14" s="25"/>
      <c r="N14" s="25"/>
      <c r="O14" s="25"/>
      <c r="P14" s="25"/>
      <c r="Q14" s="25"/>
    </row>
    <row r="15" spans="1:19" outlineLevel="1" x14ac:dyDescent="0.3">
      <c r="A15" s="245" t="s">
        <v>188</v>
      </c>
      <c r="B15" s="175">
        <v>0.44632774571</v>
      </c>
      <c r="C15" s="175">
        <v>18.763172101190001</v>
      </c>
      <c r="D15" s="197">
        <v>2.6879999999999999E-3</v>
      </c>
      <c r="E15" s="25"/>
      <c r="F15" s="25"/>
      <c r="G15" s="25"/>
      <c r="H15" s="25"/>
      <c r="I15" s="25"/>
      <c r="J15" s="25"/>
      <c r="K15" s="25"/>
      <c r="L15" s="25"/>
      <c r="M15" s="25"/>
      <c r="N15" s="25"/>
      <c r="O15" s="25"/>
      <c r="P15" s="25"/>
      <c r="Q15" s="25"/>
    </row>
    <row r="16" spans="1:19" outlineLevel="1" x14ac:dyDescent="0.3">
      <c r="A16" s="245" t="s">
        <v>189</v>
      </c>
      <c r="B16" s="175">
        <v>107.9615913048</v>
      </c>
      <c r="C16" s="175">
        <v>4538.59733685831</v>
      </c>
      <c r="D16" s="197">
        <v>0.650142</v>
      </c>
      <c r="E16" s="25"/>
      <c r="F16" s="25"/>
      <c r="G16" s="25"/>
      <c r="H16" s="25"/>
      <c r="I16" s="25"/>
      <c r="J16" s="25"/>
      <c r="K16" s="25"/>
      <c r="L16" s="25"/>
      <c r="M16" s="25"/>
      <c r="N16" s="25"/>
      <c r="O16" s="25"/>
      <c r="P16" s="25"/>
      <c r="Q16" s="25"/>
    </row>
    <row r="17" spans="1:19" x14ac:dyDescent="0.3">
      <c r="A17" s="74"/>
      <c r="B17" s="24"/>
      <c r="C17" s="24"/>
      <c r="D17" s="62"/>
      <c r="E17" s="25"/>
      <c r="F17" s="25"/>
      <c r="G17" s="25"/>
      <c r="H17" s="25"/>
      <c r="I17" s="25"/>
      <c r="J17" s="25"/>
      <c r="K17" s="25"/>
      <c r="L17" s="25"/>
      <c r="M17" s="25"/>
      <c r="N17" s="25"/>
      <c r="O17" s="25"/>
      <c r="P17" s="25"/>
      <c r="Q17" s="25"/>
    </row>
    <row r="18" spans="1:19" x14ac:dyDescent="0.3">
      <c r="A18" s="74"/>
      <c r="B18" s="24"/>
      <c r="C18" s="24"/>
      <c r="D18" s="62"/>
      <c r="E18" s="25"/>
      <c r="F18" s="25"/>
      <c r="G18" s="25"/>
      <c r="H18" s="25"/>
      <c r="I18" s="25"/>
      <c r="J18" s="25"/>
      <c r="K18" s="25"/>
      <c r="L18" s="25"/>
      <c r="M18" s="25"/>
      <c r="N18" s="25"/>
      <c r="O18" s="25"/>
      <c r="P18" s="25"/>
      <c r="Q18" s="25"/>
    </row>
    <row r="19" spans="1:19" x14ac:dyDescent="0.3">
      <c r="A19" s="152" t="str">
        <f>INCLUDING</f>
        <v>В тому числі:</v>
      </c>
      <c r="B19" s="24"/>
      <c r="C19" s="24"/>
      <c r="D19" s="62"/>
      <c r="E19" s="25"/>
      <c r="F19" s="25"/>
      <c r="G19" s="25"/>
      <c r="H19" s="25"/>
      <c r="I19" s="25"/>
      <c r="J19" s="25"/>
      <c r="K19" s="25"/>
      <c r="L19" s="25"/>
      <c r="M19" s="25"/>
      <c r="N19" s="25"/>
      <c r="O19" s="25"/>
      <c r="P19" s="25"/>
      <c r="Q19" s="25"/>
    </row>
    <row r="20" spans="1:19" x14ac:dyDescent="0.3">
      <c r="B20" s="75" t="str">
        <f>"Державний борг України за станом на " &amp; TEXT(DREPORTDATE,"dd.MM.yyyy")</f>
        <v>Державний борг України за станом на 31.12.2024</v>
      </c>
      <c r="C20" s="24"/>
      <c r="D20" s="26" t="str">
        <f>VALVAL</f>
        <v>млрд. одиниць</v>
      </c>
      <c r="E20" s="25"/>
      <c r="F20" s="25"/>
      <c r="G20" s="25"/>
      <c r="H20" s="25"/>
      <c r="I20" s="25"/>
      <c r="J20" s="25"/>
      <c r="K20" s="25"/>
      <c r="L20" s="25"/>
      <c r="M20" s="25"/>
      <c r="N20" s="25"/>
      <c r="O20" s="25"/>
      <c r="P20" s="25"/>
      <c r="Q20" s="25"/>
    </row>
    <row r="21" spans="1:19" s="33" customFormat="1" x14ac:dyDescent="0.3">
      <c r="A21" s="73"/>
      <c r="B21" s="67" t="str">
        <f>USD</f>
        <v>дол.США</v>
      </c>
      <c r="C21" s="67" t="str">
        <f>UAH</f>
        <v>грн.</v>
      </c>
      <c r="D21" s="68" t="s">
        <v>0</v>
      </c>
      <c r="E21" s="13"/>
      <c r="F21" s="13"/>
      <c r="G21" s="13"/>
      <c r="H21" s="13"/>
      <c r="I21" s="13"/>
      <c r="J21" s="13"/>
      <c r="K21" s="13"/>
      <c r="L21" s="13"/>
      <c r="M21" s="13"/>
      <c r="N21" s="13"/>
      <c r="O21" s="13"/>
      <c r="P21" s="13"/>
      <c r="Q21" s="13"/>
      <c r="R21" s="13"/>
      <c r="S21" s="13"/>
    </row>
    <row r="22" spans="1:19" s="133" customFormat="1" ht="14.5" x14ac:dyDescent="0.35">
      <c r="A22" s="150" t="str">
        <f>DEBT_TOTAL</f>
        <v>Загальна сума державного та гарантованого державою боргу</v>
      </c>
      <c r="B22" s="130">
        <f>B$32+B$23</f>
        <v>166.05851744311997</v>
      </c>
      <c r="C22" s="130">
        <f>C$32+C$23</f>
        <v>6980.9340147853909</v>
      </c>
      <c r="D22" s="131">
        <f>D$32+D$23</f>
        <v>1.0000010000000001</v>
      </c>
      <c r="E22" s="132"/>
      <c r="F22" s="132"/>
      <c r="G22" s="132"/>
      <c r="H22" s="132"/>
      <c r="I22" s="132"/>
      <c r="J22" s="132"/>
      <c r="K22" s="132"/>
      <c r="L22" s="132"/>
      <c r="M22" s="132"/>
      <c r="N22" s="132"/>
      <c r="O22" s="132"/>
      <c r="P22" s="132"/>
      <c r="Q22" s="132"/>
    </row>
    <row r="23" spans="1:19" s="39" customFormat="1" ht="14.5" outlineLevel="1" x14ac:dyDescent="0.35">
      <c r="A23" s="241" t="s">
        <v>1</v>
      </c>
      <c r="B23" s="242">
        <f>SUM(B$24:B$31)</f>
        <v>159.19557804598998</v>
      </c>
      <c r="C23" s="242">
        <f>SUM(C$24:C$31)</f>
        <v>6692.4229054677808</v>
      </c>
      <c r="D23" s="243">
        <f>SUM(D$24:D$31)</f>
        <v>0.95867200000000008</v>
      </c>
      <c r="E23" s="38"/>
      <c r="F23" s="38"/>
      <c r="G23" s="38"/>
      <c r="H23" s="38"/>
      <c r="I23" s="38"/>
      <c r="J23" s="38"/>
      <c r="K23" s="38"/>
      <c r="L23" s="38"/>
      <c r="M23" s="38"/>
      <c r="N23" s="38"/>
      <c r="O23" s="38"/>
      <c r="P23" s="38"/>
      <c r="Q23" s="38"/>
    </row>
    <row r="24" spans="1:19" s="39" customFormat="1" outlineLevel="2" x14ac:dyDescent="0.3">
      <c r="A24" s="244" t="s">
        <v>181</v>
      </c>
      <c r="B24" s="160">
        <v>5.0463515835699999</v>
      </c>
      <c r="C24" s="160">
        <v>212.14357422275</v>
      </c>
      <c r="D24" s="163">
        <v>3.0388999999999999E-2</v>
      </c>
      <c r="E24" s="38"/>
      <c r="F24" s="38"/>
      <c r="G24" s="38"/>
      <c r="H24" s="38"/>
      <c r="I24" s="38"/>
      <c r="J24" s="38"/>
      <c r="K24" s="38"/>
      <c r="L24" s="38"/>
      <c r="M24" s="38"/>
      <c r="N24" s="38"/>
      <c r="O24" s="38"/>
      <c r="P24" s="38"/>
      <c r="Q24" s="38"/>
    </row>
    <row r="25" spans="1:19" s="39" customFormat="1" outlineLevel="2" x14ac:dyDescent="0.3">
      <c r="A25" s="246" t="s">
        <v>182</v>
      </c>
      <c r="B25" s="247">
        <v>19.689682203099999</v>
      </c>
      <c r="C25" s="247">
        <v>827.73455013616001</v>
      </c>
      <c r="D25" s="76">
        <v>0.118571</v>
      </c>
      <c r="E25" s="38"/>
      <c r="F25" s="38"/>
      <c r="G25" s="38"/>
      <c r="H25" s="38"/>
      <c r="I25" s="38"/>
      <c r="J25" s="38"/>
      <c r="K25" s="38"/>
      <c r="L25" s="38"/>
      <c r="M25" s="38"/>
      <c r="N25" s="38"/>
      <c r="O25" s="38"/>
      <c r="P25" s="38"/>
      <c r="Q25" s="38"/>
    </row>
    <row r="26" spans="1:19" s="39" customFormat="1" outlineLevel="2" x14ac:dyDescent="0.3">
      <c r="A26" s="248" t="s">
        <v>183</v>
      </c>
      <c r="B26" s="175">
        <v>0.16700042806000001</v>
      </c>
      <c r="C26" s="175">
        <v>7.0205309950499997</v>
      </c>
      <c r="D26" s="197">
        <v>1.0059999999999999E-3</v>
      </c>
      <c r="E26" s="38"/>
      <c r="F26" s="38"/>
      <c r="G26" s="38"/>
      <c r="H26" s="38"/>
      <c r="I26" s="38"/>
      <c r="J26" s="38"/>
      <c r="K26" s="38"/>
      <c r="L26" s="38"/>
      <c r="M26" s="38"/>
      <c r="N26" s="38"/>
      <c r="O26" s="38"/>
      <c r="P26" s="38"/>
      <c r="Q26" s="38"/>
    </row>
    <row r="27" spans="1:19" s="39" customFormat="1" outlineLevel="2" x14ac:dyDescent="0.3">
      <c r="A27" s="248" t="s">
        <v>184</v>
      </c>
      <c r="B27" s="175">
        <v>0.84658439538999997</v>
      </c>
      <c r="C27" s="175">
        <v>35.589561397920001</v>
      </c>
      <c r="D27" s="197">
        <v>5.0980000000000001E-3</v>
      </c>
      <c r="E27" s="38"/>
      <c r="F27" s="38"/>
      <c r="G27" s="38"/>
      <c r="H27" s="38"/>
      <c r="I27" s="38"/>
      <c r="J27" s="38"/>
      <c r="K27" s="38"/>
      <c r="L27" s="38"/>
      <c r="M27" s="38"/>
      <c r="N27" s="38"/>
      <c r="O27" s="38"/>
      <c r="P27" s="38"/>
      <c r="Q27" s="38"/>
    </row>
    <row r="28" spans="1:19" s="61" customFormat="1" outlineLevel="2" x14ac:dyDescent="0.3">
      <c r="A28" s="248" t="s">
        <v>185</v>
      </c>
      <c r="B28" s="175">
        <v>3.4532918243499999</v>
      </c>
      <c r="C28" s="175">
        <v>145.172935</v>
      </c>
      <c r="D28" s="197">
        <v>2.0795999999999999E-2</v>
      </c>
      <c r="E28" s="60"/>
      <c r="F28" s="60"/>
      <c r="G28" s="60"/>
      <c r="H28" s="60"/>
      <c r="I28" s="60"/>
      <c r="J28" s="60"/>
      <c r="K28" s="60"/>
      <c r="L28" s="60"/>
      <c r="M28" s="60"/>
      <c r="N28" s="60"/>
      <c r="O28" s="60"/>
      <c r="P28" s="60"/>
      <c r="Q28" s="60"/>
    </row>
    <row r="29" spans="1:19" s="39" customFormat="1" outlineLevel="2" x14ac:dyDescent="0.3">
      <c r="A29" s="248" t="s">
        <v>186</v>
      </c>
      <c r="B29" s="175">
        <v>6.6604819334499998</v>
      </c>
      <c r="C29" s="175">
        <v>280</v>
      </c>
      <c r="D29" s="197">
        <v>4.0108999999999999E-2</v>
      </c>
      <c r="E29" s="38"/>
      <c r="F29" s="38"/>
      <c r="G29" s="38"/>
      <c r="H29" s="38"/>
      <c r="I29" s="38"/>
      <c r="J29" s="38"/>
      <c r="K29" s="38"/>
      <c r="L29" s="38"/>
      <c r="M29" s="38"/>
      <c r="N29" s="38"/>
      <c r="O29" s="38"/>
      <c r="P29" s="38"/>
      <c r="Q29" s="38"/>
    </row>
    <row r="30" spans="1:19" s="39" customFormat="1" outlineLevel="2" x14ac:dyDescent="0.3">
      <c r="A30" s="248" t="s">
        <v>187</v>
      </c>
      <c r="B30" s="175">
        <v>17.665421749109999</v>
      </c>
      <c r="C30" s="175">
        <v>742.63666491172</v>
      </c>
      <c r="D30" s="197">
        <v>0.106381</v>
      </c>
      <c r="E30" s="38"/>
      <c r="F30" s="38"/>
      <c r="G30" s="38"/>
      <c r="H30" s="38"/>
      <c r="I30" s="38"/>
      <c r="J30" s="38"/>
      <c r="K30" s="38"/>
      <c r="L30" s="38"/>
      <c r="M30" s="38"/>
      <c r="N30" s="38"/>
      <c r="O30" s="38"/>
      <c r="P30" s="38"/>
      <c r="Q30" s="38"/>
    </row>
    <row r="31" spans="1:19" s="39" customFormat="1" outlineLevel="2" x14ac:dyDescent="0.3">
      <c r="A31" s="248" t="s">
        <v>189</v>
      </c>
      <c r="B31" s="175">
        <v>105.66676392895999</v>
      </c>
      <c r="C31" s="175">
        <v>4442.1250888041805</v>
      </c>
      <c r="D31" s="197">
        <v>0.63632200000000005</v>
      </c>
      <c r="E31" s="38"/>
      <c r="F31" s="38"/>
      <c r="G31" s="38"/>
      <c r="H31" s="38"/>
      <c r="I31" s="38"/>
      <c r="J31" s="38"/>
      <c r="K31" s="38"/>
      <c r="L31" s="38"/>
      <c r="M31" s="38"/>
      <c r="N31" s="38"/>
      <c r="O31" s="38"/>
      <c r="P31" s="38"/>
      <c r="Q31" s="38"/>
    </row>
    <row r="32" spans="1:19" s="39" customFormat="1" ht="14.5" outlineLevel="1" x14ac:dyDescent="0.35">
      <c r="A32" s="249" t="s">
        <v>2</v>
      </c>
      <c r="B32" s="227">
        <f>SUM(B$33:B$38)</f>
        <v>6.8629393971300008</v>
      </c>
      <c r="C32" s="227">
        <f>SUM(C$33:C$38)</f>
        <v>288.51110931761002</v>
      </c>
      <c r="D32" s="228">
        <f>SUM(D$33:D$38)</f>
        <v>4.1328999999999998E-2</v>
      </c>
      <c r="E32" s="38"/>
      <c r="F32" s="38"/>
      <c r="G32" s="38"/>
      <c r="H32" s="38"/>
      <c r="I32" s="38"/>
      <c r="J32" s="38"/>
      <c r="K32" s="38"/>
      <c r="L32" s="38"/>
      <c r="M32" s="38"/>
      <c r="N32" s="38"/>
      <c r="O32" s="38"/>
      <c r="P32" s="38"/>
      <c r="Q32" s="38"/>
    </row>
    <row r="33" spans="1:17" outlineLevel="2" x14ac:dyDescent="0.3">
      <c r="A33" s="248" t="s">
        <v>181</v>
      </c>
      <c r="B33" s="175">
        <v>1.27047991403</v>
      </c>
      <c r="C33" s="175">
        <v>53.409705106540002</v>
      </c>
      <c r="D33" s="197">
        <v>7.6509999999999998E-3</v>
      </c>
      <c r="E33" s="25"/>
      <c r="F33" s="25"/>
      <c r="G33" s="25"/>
      <c r="H33" s="25"/>
      <c r="I33" s="25"/>
      <c r="J33" s="25"/>
      <c r="K33" s="25"/>
      <c r="L33" s="25"/>
      <c r="M33" s="25"/>
      <c r="N33" s="25"/>
      <c r="O33" s="25"/>
      <c r="P33" s="25"/>
      <c r="Q33" s="25"/>
    </row>
    <row r="34" spans="1:17" outlineLevel="2" x14ac:dyDescent="0.3">
      <c r="A34" s="248" t="s">
        <v>182</v>
      </c>
      <c r="B34" s="175">
        <v>1.33855895851</v>
      </c>
      <c r="C34" s="175">
        <v>56.271680056800001</v>
      </c>
      <c r="D34" s="197">
        <v>8.0610000000000005E-3</v>
      </c>
      <c r="E34" s="25"/>
      <c r="F34" s="25"/>
      <c r="G34" s="25"/>
      <c r="H34" s="25"/>
      <c r="I34" s="25"/>
      <c r="J34" s="25"/>
      <c r="K34" s="25"/>
      <c r="L34" s="25"/>
      <c r="M34" s="25"/>
      <c r="N34" s="25"/>
      <c r="O34" s="25"/>
      <c r="P34" s="25"/>
      <c r="Q34" s="25"/>
    </row>
    <row r="35" spans="1:17" outlineLevel="2" x14ac:dyDescent="0.3">
      <c r="A35" s="248" t="s">
        <v>186</v>
      </c>
      <c r="B35" s="175">
        <v>0.26215407943000002</v>
      </c>
      <c r="C35" s="175">
        <v>11.02069534536</v>
      </c>
      <c r="D35" s="197">
        <v>1.5790000000000001E-3</v>
      </c>
      <c r="E35" s="25"/>
      <c r="F35" s="25"/>
      <c r="G35" s="25"/>
      <c r="H35" s="25"/>
      <c r="I35" s="25"/>
      <c r="J35" s="25"/>
      <c r="K35" s="25"/>
      <c r="L35" s="25"/>
      <c r="M35" s="25"/>
      <c r="N35" s="25"/>
      <c r="O35" s="25"/>
      <c r="P35" s="25"/>
      <c r="Q35" s="25"/>
    </row>
    <row r="36" spans="1:17" outlineLevel="2" x14ac:dyDescent="0.3">
      <c r="A36" s="248" t="s">
        <v>187</v>
      </c>
      <c r="B36" s="175">
        <v>1.2505913236099999</v>
      </c>
      <c r="C36" s="175">
        <v>52.57360865359</v>
      </c>
      <c r="D36" s="197">
        <v>7.5310000000000004E-3</v>
      </c>
      <c r="E36" s="25"/>
      <c r="F36" s="25"/>
      <c r="G36" s="25"/>
      <c r="H36" s="25"/>
      <c r="I36" s="25"/>
      <c r="J36" s="25"/>
      <c r="K36" s="25"/>
      <c r="L36" s="25"/>
      <c r="M36" s="25"/>
      <c r="N36" s="25"/>
      <c r="O36" s="25"/>
      <c r="P36" s="25"/>
      <c r="Q36" s="25"/>
    </row>
    <row r="37" spans="1:17" outlineLevel="2" x14ac:dyDescent="0.3">
      <c r="A37" s="248" t="s">
        <v>188</v>
      </c>
      <c r="B37" s="175">
        <v>0.44632774571</v>
      </c>
      <c r="C37" s="175">
        <v>18.763172101190001</v>
      </c>
      <c r="D37" s="197">
        <v>2.6879999999999999E-3</v>
      </c>
      <c r="E37" s="25"/>
      <c r="F37" s="25"/>
      <c r="G37" s="25"/>
      <c r="H37" s="25"/>
      <c r="I37" s="25"/>
      <c r="J37" s="25"/>
      <c r="K37" s="25"/>
      <c r="L37" s="25"/>
      <c r="M37" s="25"/>
      <c r="N37" s="25"/>
      <c r="O37" s="25"/>
      <c r="P37" s="25"/>
      <c r="Q37" s="25"/>
    </row>
    <row r="38" spans="1:17" outlineLevel="2" x14ac:dyDescent="0.3">
      <c r="A38" s="248" t="s">
        <v>189</v>
      </c>
      <c r="B38" s="175">
        <v>2.2948273758400002</v>
      </c>
      <c r="C38" s="175">
        <v>96.472248054130006</v>
      </c>
      <c r="D38" s="197">
        <v>1.3819E-2</v>
      </c>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E244" s="25"/>
      <c r="F244" s="25"/>
      <c r="G244" s="25"/>
      <c r="H244" s="25"/>
      <c r="I244" s="25"/>
      <c r="J244" s="25"/>
      <c r="K244" s="25"/>
      <c r="L244" s="25"/>
      <c r="M244" s="25"/>
      <c r="N244" s="25"/>
      <c r="O244" s="25"/>
      <c r="P244" s="25"/>
      <c r="Q244" s="25"/>
    </row>
    <row r="245" spans="2:17" x14ac:dyDescent="0.3">
      <c r="E245" s="25"/>
      <c r="F245" s="25"/>
      <c r="G245" s="25"/>
      <c r="H245" s="25"/>
      <c r="I245" s="25"/>
      <c r="J245" s="25"/>
      <c r="K245" s="25"/>
      <c r="L245" s="25"/>
      <c r="M245" s="25"/>
      <c r="N245" s="25"/>
      <c r="O245" s="25"/>
      <c r="P245" s="25"/>
      <c r="Q245" s="25"/>
    </row>
    <row r="246" spans="2:17" x14ac:dyDescent="0.3">
      <c r="E246" s="25"/>
      <c r="F246" s="25"/>
      <c r="G246" s="25"/>
      <c r="H246" s="25"/>
      <c r="I246" s="25"/>
      <c r="J246" s="25"/>
      <c r="K246" s="25"/>
      <c r="L246" s="25"/>
      <c r="M246" s="25"/>
      <c r="N246" s="25"/>
      <c r="O246" s="25"/>
      <c r="P246" s="25"/>
      <c r="Q246" s="25"/>
    </row>
    <row r="247" spans="2:17" x14ac:dyDescent="0.3">
      <c r="E247" s="25"/>
      <c r="F247" s="25"/>
      <c r="G247" s="25"/>
      <c r="H247" s="25"/>
      <c r="I247" s="25"/>
      <c r="J247" s="25"/>
      <c r="K247" s="25"/>
      <c r="L247" s="25"/>
      <c r="M247" s="25"/>
      <c r="N247" s="25"/>
      <c r="O247" s="25"/>
      <c r="P247" s="25"/>
      <c r="Q247" s="25"/>
    </row>
    <row r="248" spans="2:17" x14ac:dyDescent="0.3">
      <c r="E248" s="25"/>
      <c r="F248" s="25"/>
      <c r="G248" s="25"/>
      <c r="H248" s="25"/>
      <c r="I248" s="25"/>
      <c r="J248" s="25"/>
      <c r="K248" s="25"/>
      <c r="L248" s="25"/>
      <c r="M248" s="25"/>
      <c r="N248" s="25"/>
      <c r="O248" s="25"/>
      <c r="P248" s="25"/>
      <c r="Q248" s="25"/>
    </row>
    <row r="249" spans="2:17" x14ac:dyDescent="0.3">
      <c r="E249" s="25"/>
      <c r="F249" s="25"/>
      <c r="G249" s="25"/>
      <c r="H249" s="25"/>
      <c r="I249" s="25"/>
      <c r="J249" s="25"/>
      <c r="K249" s="25"/>
      <c r="L249" s="25"/>
      <c r="M249" s="25"/>
      <c r="N249" s="25"/>
      <c r="O249" s="25"/>
      <c r="P249" s="25"/>
      <c r="Q249" s="25"/>
    </row>
    <row r="250" spans="2:17" x14ac:dyDescent="0.3">
      <c r="E250" s="25"/>
      <c r="F250" s="25"/>
      <c r="G250" s="25"/>
      <c r="H250" s="25"/>
      <c r="I250" s="25"/>
      <c r="J250" s="25"/>
      <c r="K250" s="25"/>
      <c r="L250" s="25"/>
      <c r="M250" s="25"/>
      <c r="N250" s="25"/>
      <c r="O250" s="25"/>
      <c r="P250" s="25"/>
      <c r="Q250" s="25"/>
    </row>
    <row r="251" spans="2:17" x14ac:dyDescent="0.3">
      <c r="E251" s="25"/>
      <c r="F251" s="25"/>
      <c r="G251" s="25"/>
      <c r="H251" s="25"/>
      <c r="I251" s="25"/>
      <c r="J251" s="25"/>
      <c r="K251" s="25"/>
      <c r="L251" s="25"/>
      <c r="M251" s="25"/>
      <c r="N251" s="25"/>
      <c r="O251" s="25"/>
      <c r="P251" s="25"/>
      <c r="Q251"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8"/>
    <outlinePr applyStyles="1" summaryBelow="0"/>
    <pageSetUpPr fitToPage="1"/>
  </sheetPr>
  <dimension ref="A2:S238"/>
  <sheetViews>
    <sheetView workbookViewId="0">
      <selection activeCell="B19" sqref="B19"/>
    </sheetView>
  </sheetViews>
  <sheetFormatPr defaultColWidth="9.1796875" defaultRowHeight="13" outlineLevelRow="2" x14ac:dyDescent="0.3"/>
  <cols>
    <col min="1" max="1" width="66" style="21" bestFit="1" customWidth="1"/>
    <col min="2" max="2" width="17.453125" style="22" customWidth="1"/>
    <col min="3" max="3" width="18.1796875" style="22" customWidth="1"/>
    <col min="4" max="4" width="11.453125" style="71" bestFit="1" customWidth="1"/>
    <col min="5" max="5" width="17.1796875" style="22" customWidth="1"/>
    <col min="6" max="6" width="17.54296875" style="22" customWidth="1"/>
    <col min="7" max="7" width="11.453125" style="71" bestFit="1" customWidth="1"/>
    <col min="8" max="8" width="16.1796875" style="22" bestFit="1" customWidth="1"/>
    <col min="9" max="9" width="9.1796875" style="21" customWidth="1"/>
    <col min="10" max="16384" width="9.1796875" style="21"/>
  </cols>
  <sheetData>
    <row r="2" spans="1:19" ht="18.5" x14ac:dyDescent="0.45">
      <c r="A2" s="278" t="str">
        <f>DEBT_BY_RATE_TYPE</f>
        <v>Структура боргу за типом ставки на кінець попереднього року та звітну дату</v>
      </c>
      <c r="B2" s="280"/>
      <c r="C2" s="280"/>
      <c r="D2" s="280"/>
      <c r="E2" s="280"/>
      <c r="F2" s="280"/>
      <c r="G2" s="280"/>
      <c r="H2" s="280"/>
      <c r="I2" s="25"/>
      <c r="J2" s="25"/>
      <c r="K2" s="25"/>
      <c r="L2" s="25"/>
      <c r="M2" s="25"/>
      <c r="N2" s="25"/>
      <c r="O2" s="25"/>
      <c r="P2" s="25"/>
      <c r="Q2" s="25"/>
      <c r="R2" s="25"/>
      <c r="S2" s="25"/>
    </row>
    <row r="3" spans="1:19" x14ac:dyDescent="0.3">
      <c r="A3" s="23"/>
    </row>
    <row r="4" spans="1:19" s="26" customFormat="1" x14ac:dyDescent="0.3">
      <c r="B4" s="27"/>
      <c r="C4" s="27"/>
      <c r="D4" s="66"/>
      <c r="E4" s="27"/>
      <c r="F4" s="27"/>
      <c r="G4" s="66"/>
      <c r="H4" s="26" t="str">
        <f>VALVAL</f>
        <v>млрд. одиниць</v>
      </c>
    </row>
    <row r="5" spans="1:19" s="52" customFormat="1" x14ac:dyDescent="0.25">
      <c r="A5" s="77"/>
      <c r="B5" s="283">
        <v>45291</v>
      </c>
      <c r="C5" s="284"/>
      <c r="D5" s="285"/>
      <c r="E5" s="283">
        <v>45657</v>
      </c>
      <c r="F5" s="284"/>
      <c r="G5" s="285"/>
      <c r="H5" s="78"/>
    </row>
    <row r="6" spans="1:19" s="79" customFormat="1" x14ac:dyDescent="0.25">
      <c r="A6" s="11"/>
      <c r="B6" s="67" t="str">
        <f>USD</f>
        <v>дол.США</v>
      </c>
      <c r="C6" s="67" t="str">
        <f>UAH</f>
        <v>грн.</v>
      </c>
      <c r="D6" s="68" t="s">
        <v>0</v>
      </c>
      <c r="E6" s="67" t="str">
        <f>USD</f>
        <v>дол.США</v>
      </c>
      <c r="F6" s="67" t="str">
        <f>UAH</f>
        <v>грн.</v>
      </c>
      <c r="G6" s="68" t="s">
        <v>0</v>
      </c>
      <c r="H6" s="67" t="str">
        <f>CHANGE_OF_STRUCTURE</f>
        <v>Зміна структури</v>
      </c>
    </row>
    <row r="7" spans="1:19" s="129" customFormat="1" ht="15.5" x14ac:dyDescent="0.25">
      <c r="A7" s="141" t="str">
        <f>DEBT_TOTAL</f>
        <v>Загальна сума державного та гарантованого державою боргу</v>
      </c>
      <c r="B7" s="127">
        <f t="shared" ref="B7:H7" si="0">SUM(B8:B15)</f>
        <v>47.950984633639997</v>
      </c>
      <c r="C7" s="127">
        <f t="shared" si="0"/>
        <v>1821.29347874789</v>
      </c>
      <c r="D7" s="128">
        <f t="shared" si="0"/>
        <v>0.32996700000000001</v>
      </c>
      <c r="E7" s="127">
        <f t="shared" si="0"/>
        <v>58.096926138320001</v>
      </c>
      <c r="F7" s="127">
        <f t="shared" si="0"/>
        <v>2442.33667792708</v>
      </c>
      <c r="G7" s="128">
        <f t="shared" si="0"/>
        <v>0.34986</v>
      </c>
      <c r="H7" s="127">
        <f t="shared" si="0"/>
        <v>1.9892000000000007E-2</v>
      </c>
    </row>
    <row r="8" spans="1:19" s="37" customFormat="1" outlineLevel="1" x14ac:dyDescent="0.25">
      <c r="A8" s="159" t="s">
        <v>181</v>
      </c>
      <c r="B8" s="165">
        <v>6.62435786049</v>
      </c>
      <c r="C8" s="165">
        <v>251.6090100003</v>
      </c>
      <c r="D8" s="229">
        <v>4.5584E-2</v>
      </c>
      <c r="E8" s="165">
        <v>6.3168314976</v>
      </c>
      <c r="F8" s="165">
        <v>265.55327932928998</v>
      </c>
      <c r="G8" s="229">
        <v>3.8039999999999997E-2</v>
      </c>
      <c r="H8" s="165">
        <v>-7.5449999999999996E-3</v>
      </c>
    </row>
    <row r="9" spans="1:19" s="37" customFormat="1" outlineLevel="1" x14ac:dyDescent="0.25">
      <c r="A9" s="159" t="s">
        <v>182</v>
      </c>
      <c r="B9" s="165">
        <v>11.997387543289999</v>
      </c>
      <c r="C9" s="165">
        <v>455.68957262433997</v>
      </c>
      <c r="D9" s="229">
        <v>8.2558000000000006E-2</v>
      </c>
      <c r="E9" s="165">
        <v>21.028241161610001</v>
      </c>
      <c r="F9" s="165">
        <v>884.00623019295995</v>
      </c>
      <c r="G9" s="229">
        <v>0.12663199999999999</v>
      </c>
      <c r="H9" s="165">
        <v>4.4074000000000002E-2</v>
      </c>
    </row>
    <row r="10" spans="1:19" s="37" customFormat="1" outlineLevel="1" x14ac:dyDescent="0.25">
      <c r="A10" s="159" t="s">
        <v>183</v>
      </c>
      <c r="B10" s="165">
        <v>0</v>
      </c>
      <c r="C10" s="165">
        <v>0</v>
      </c>
      <c r="D10" s="229">
        <v>0</v>
      </c>
      <c r="E10" s="165">
        <v>0.16700042806000001</v>
      </c>
      <c r="F10" s="165">
        <v>7.0205309950499997</v>
      </c>
      <c r="G10" s="229">
        <v>1.0059999999999999E-3</v>
      </c>
      <c r="H10" s="165">
        <v>1.0059999999999999E-3</v>
      </c>
    </row>
    <row r="11" spans="1:19" s="37" customFormat="1" outlineLevel="1" x14ac:dyDescent="0.25">
      <c r="A11" s="159" t="s">
        <v>184</v>
      </c>
      <c r="B11" s="165">
        <v>0.94627132542000003</v>
      </c>
      <c r="C11" s="165">
        <v>35.941655990729998</v>
      </c>
      <c r="D11" s="229">
        <v>6.5120000000000004E-3</v>
      </c>
      <c r="E11" s="165">
        <v>0.84658439538999997</v>
      </c>
      <c r="F11" s="165">
        <v>35.589561397920001</v>
      </c>
      <c r="G11" s="229">
        <v>5.0980000000000001E-3</v>
      </c>
      <c r="H11" s="165">
        <v>-1.413E-3</v>
      </c>
    </row>
    <row r="12" spans="1:19" s="37" customFormat="1" outlineLevel="1" x14ac:dyDescent="0.25">
      <c r="A12" s="159" t="s">
        <v>185</v>
      </c>
      <c r="B12" s="165">
        <v>3.8221106354200001</v>
      </c>
      <c r="C12" s="165">
        <v>145.172935</v>
      </c>
      <c r="D12" s="229">
        <v>2.6301000000000001E-2</v>
      </c>
      <c r="E12" s="165">
        <v>3.4532918243499999</v>
      </c>
      <c r="F12" s="165">
        <v>145.172935</v>
      </c>
      <c r="G12" s="229">
        <v>2.0795999999999999E-2</v>
      </c>
      <c r="H12" s="165">
        <v>-5.5059999999999996E-3</v>
      </c>
    </row>
    <row r="13" spans="1:19" s="37" customFormat="1" outlineLevel="1" x14ac:dyDescent="0.25">
      <c r="A13" s="159" t="s">
        <v>186</v>
      </c>
      <c r="B13" s="165">
        <v>7.6903493461899997</v>
      </c>
      <c r="C13" s="165">
        <v>292.09792500532001</v>
      </c>
      <c r="D13" s="229">
        <v>5.2920000000000002E-2</v>
      </c>
      <c r="E13" s="165">
        <v>6.92263601288</v>
      </c>
      <c r="F13" s="165">
        <v>291.02069534536002</v>
      </c>
      <c r="G13" s="229">
        <v>4.1688000000000003E-2</v>
      </c>
      <c r="H13" s="250">
        <v>-1.1232000000000001E-2</v>
      </c>
    </row>
    <row r="14" spans="1:19" outlineLevel="1" x14ac:dyDescent="0.3">
      <c r="A14" s="240" t="s">
        <v>187</v>
      </c>
      <c r="B14" s="175">
        <v>16.47687941141</v>
      </c>
      <c r="C14" s="175">
        <v>625.83142455484995</v>
      </c>
      <c r="D14" s="197">
        <v>0.113383</v>
      </c>
      <c r="E14" s="175">
        <v>18.916013072719998</v>
      </c>
      <c r="F14" s="175">
        <v>795.21027356530999</v>
      </c>
      <c r="G14" s="197">
        <v>0.113912</v>
      </c>
      <c r="H14" s="251">
        <v>5.2899999999999996E-4</v>
      </c>
      <c r="I14" s="25"/>
      <c r="J14" s="25"/>
      <c r="K14" s="25"/>
      <c r="L14" s="25"/>
      <c r="M14" s="25"/>
      <c r="N14" s="25"/>
      <c r="O14" s="25"/>
      <c r="P14" s="25"/>
      <c r="Q14" s="25"/>
    </row>
    <row r="15" spans="1:19" outlineLevel="1" x14ac:dyDescent="0.3">
      <c r="A15" s="240" t="s">
        <v>188</v>
      </c>
      <c r="B15" s="175">
        <v>0.39362851141999999</v>
      </c>
      <c r="C15" s="175">
        <v>14.950955572350001</v>
      </c>
      <c r="D15" s="197">
        <v>2.709E-3</v>
      </c>
      <c r="E15" s="175">
        <v>0.44632774571</v>
      </c>
      <c r="F15" s="175">
        <v>18.763172101190001</v>
      </c>
      <c r="G15" s="197">
        <v>2.6879999999999999E-3</v>
      </c>
      <c r="H15" s="251">
        <v>-2.0999999999999999E-5</v>
      </c>
      <c r="I15" s="25"/>
      <c r="J15" s="25"/>
      <c r="K15" s="25"/>
      <c r="L15" s="25"/>
      <c r="M15" s="25"/>
      <c r="N15" s="25"/>
      <c r="O15" s="25"/>
      <c r="P15" s="25"/>
      <c r="Q15" s="25"/>
    </row>
    <row r="16" spans="1:19" outlineLevel="1" x14ac:dyDescent="0.3">
      <c r="A16" s="240" t="s">
        <v>189</v>
      </c>
      <c r="B16" s="175">
        <v>97.369886575319995</v>
      </c>
      <c r="C16" s="175">
        <v>3698.3419798622599</v>
      </c>
      <c r="D16" s="197">
        <v>0.67003400000000002</v>
      </c>
      <c r="E16" s="175">
        <v>107.9615913048</v>
      </c>
      <c r="F16" s="175">
        <v>4538.59733685831</v>
      </c>
      <c r="G16" s="197">
        <v>0.650142</v>
      </c>
      <c r="H16" s="175">
        <v>-1.9892E-2</v>
      </c>
      <c r="I16" s="25"/>
      <c r="J16" s="25"/>
      <c r="K16" s="25"/>
      <c r="L16" s="25"/>
      <c r="M16" s="25"/>
      <c r="N16" s="25"/>
      <c r="O16" s="25"/>
      <c r="P16" s="25"/>
      <c r="Q16" s="25"/>
    </row>
    <row r="17" spans="1:19" x14ac:dyDescent="0.3">
      <c r="B17" s="24"/>
      <c r="C17" s="24"/>
      <c r="D17" s="62"/>
      <c r="E17" s="24"/>
      <c r="F17" s="24"/>
      <c r="G17" s="62"/>
      <c r="H17" s="26" t="str">
        <f>VALVAL</f>
        <v>млрд. одиниць</v>
      </c>
      <c r="I17" s="25"/>
      <c r="J17" s="25"/>
      <c r="K17" s="25"/>
      <c r="L17" s="25"/>
      <c r="M17" s="25"/>
      <c r="N17" s="25"/>
      <c r="O17" s="25"/>
      <c r="P17" s="25"/>
      <c r="Q17" s="25"/>
    </row>
    <row r="18" spans="1:19" x14ac:dyDescent="0.3">
      <c r="A18" s="77"/>
      <c r="B18" s="283">
        <v>45291</v>
      </c>
      <c r="C18" s="284"/>
      <c r="D18" s="285"/>
      <c r="E18" s="283">
        <v>45657</v>
      </c>
      <c r="F18" s="284"/>
      <c r="G18" s="285"/>
      <c r="H18" s="78"/>
      <c r="I18" s="52"/>
      <c r="J18" s="52"/>
      <c r="K18" s="52"/>
      <c r="L18" s="52"/>
      <c r="M18" s="52"/>
      <c r="N18" s="52"/>
      <c r="O18" s="52"/>
      <c r="P18" s="52"/>
      <c r="Q18" s="52"/>
      <c r="R18" s="52"/>
      <c r="S18" s="52"/>
    </row>
    <row r="19" spans="1:19" s="82" customFormat="1" x14ac:dyDescent="0.3">
      <c r="A19" s="80"/>
      <c r="B19" s="88" t="str">
        <f>USD</f>
        <v>дол.США</v>
      </c>
      <c r="C19" s="88" t="str">
        <f>UAH</f>
        <v>грн.</v>
      </c>
      <c r="D19" s="89" t="s">
        <v>0</v>
      </c>
      <c r="E19" s="88" t="str">
        <f>USD</f>
        <v>дол.США</v>
      </c>
      <c r="F19" s="88" t="str">
        <f>UAH</f>
        <v>грн.</v>
      </c>
      <c r="G19" s="89" t="s">
        <v>0</v>
      </c>
      <c r="H19" s="88" t="str">
        <f>CHANGE_OF_STRUCTURE</f>
        <v>Зміна структури</v>
      </c>
      <c r="I19" s="81"/>
      <c r="J19" s="81"/>
      <c r="K19" s="81"/>
      <c r="L19" s="81"/>
      <c r="M19" s="81"/>
      <c r="N19" s="81"/>
      <c r="O19" s="81"/>
      <c r="P19" s="81"/>
      <c r="Q19" s="81"/>
    </row>
    <row r="20" spans="1:19" s="133" customFormat="1" ht="14.5" x14ac:dyDescent="0.35">
      <c r="A20" s="150" t="str">
        <f>DEBT_TOTAL</f>
        <v>Загальна сума державного та гарантованого державою боргу</v>
      </c>
      <c r="B20" s="135">
        <f t="shared" ref="B20:H20" si="1">B$30+B$21</f>
        <v>145.32087120896</v>
      </c>
      <c r="C20" s="135">
        <f t="shared" si="1"/>
        <v>5519.6354586101506</v>
      </c>
      <c r="D20" s="136">
        <f t="shared" si="1"/>
        <v>1.0000020000000001</v>
      </c>
      <c r="E20" s="135">
        <f t="shared" si="1"/>
        <v>166.05851744311997</v>
      </c>
      <c r="F20" s="135">
        <f t="shared" si="1"/>
        <v>6980.9340147853909</v>
      </c>
      <c r="G20" s="136">
        <f t="shared" si="1"/>
        <v>1.0000010000000001</v>
      </c>
      <c r="H20" s="135">
        <f t="shared" si="1"/>
        <v>-9.9999999999753064E-7</v>
      </c>
      <c r="I20" s="132"/>
      <c r="J20" s="132"/>
      <c r="K20" s="132"/>
      <c r="L20" s="132"/>
      <c r="M20" s="132"/>
      <c r="N20" s="132"/>
      <c r="O20" s="132"/>
      <c r="P20" s="132"/>
      <c r="Q20" s="132"/>
    </row>
    <row r="21" spans="1:19" s="61" customFormat="1" ht="14.5" outlineLevel="1" x14ac:dyDescent="0.35">
      <c r="A21" s="241" t="s">
        <v>1</v>
      </c>
      <c r="B21" s="252">
        <f t="shared" ref="B21:H21" si="2">SUM(B$22:B$29)</f>
        <v>136.59196737241001</v>
      </c>
      <c r="C21" s="252">
        <f t="shared" si="2"/>
        <v>5188.0907415274305</v>
      </c>
      <c r="D21" s="253">
        <f t="shared" si="2"/>
        <v>0.93993499999999996</v>
      </c>
      <c r="E21" s="252">
        <f t="shared" si="2"/>
        <v>159.19557804598998</v>
      </c>
      <c r="F21" s="252">
        <f t="shared" si="2"/>
        <v>6692.4229054677808</v>
      </c>
      <c r="G21" s="253">
        <f t="shared" si="2"/>
        <v>0.95867200000000008</v>
      </c>
      <c r="H21" s="252">
        <f t="shared" si="2"/>
        <v>1.8738000000000001E-2</v>
      </c>
      <c r="I21" s="60"/>
      <c r="J21" s="60"/>
      <c r="K21" s="60"/>
      <c r="L21" s="60"/>
      <c r="M21" s="60"/>
      <c r="N21" s="60"/>
      <c r="O21" s="60"/>
      <c r="P21" s="60"/>
      <c r="Q21" s="60"/>
    </row>
    <row r="22" spans="1:19" s="39" customFormat="1" outlineLevel="2" x14ac:dyDescent="0.3">
      <c r="A22" s="244" t="s">
        <v>181</v>
      </c>
      <c r="B22" s="160">
        <v>5.38407265756</v>
      </c>
      <c r="C22" s="160">
        <v>204.50000130897999</v>
      </c>
      <c r="D22" s="163">
        <v>3.705E-2</v>
      </c>
      <c r="E22" s="160">
        <v>5.0463515835699999</v>
      </c>
      <c r="F22" s="160">
        <v>212.14357422275</v>
      </c>
      <c r="G22" s="163">
        <v>3.0388999999999999E-2</v>
      </c>
      <c r="H22" s="160">
        <v>-6.6610000000000003E-3</v>
      </c>
      <c r="I22" s="38"/>
      <c r="J22" s="38"/>
      <c r="K22" s="38"/>
      <c r="L22" s="38"/>
      <c r="M22" s="38"/>
      <c r="N22" s="38"/>
      <c r="O22" s="38"/>
      <c r="P22" s="38"/>
      <c r="Q22" s="38"/>
    </row>
    <row r="23" spans="1:19" outlineLevel="2" x14ac:dyDescent="0.3">
      <c r="A23" s="254" t="s">
        <v>182</v>
      </c>
      <c r="B23" s="175">
        <v>10.63510229605</v>
      </c>
      <c r="C23" s="175">
        <v>403.94670944956999</v>
      </c>
      <c r="D23" s="197">
        <v>7.3183999999999999E-2</v>
      </c>
      <c r="E23" s="175">
        <v>19.689682203099999</v>
      </c>
      <c r="F23" s="175">
        <v>827.73455013616001</v>
      </c>
      <c r="G23" s="197">
        <v>0.118571</v>
      </c>
      <c r="H23" s="175">
        <v>4.5386999999999997E-2</v>
      </c>
      <c r="I23" s="25"/>
      <c r="J23" s="25"/>
      <c r="K23" s="25"/>
      <c r="L23" s="25"/>
      <c r="M23" s="25"/>
      <c r="N23" s="25"/>
      <c r="O23" s="25"/>
      <c r="P23" s="25"/>
      <c r="Q23" s="25"/>
    </row>
    <row r="24" spans="1:19" outlineLevel="2" x14ac:dyDescent="0.3">
      <c r="A24" s="254" t="s">
        <v>183</v>
      </c>
      <c r="B24" s="175">
        <v>0</v>
      </c>
      <c r="C24" s="175">
        <v>0</v>
      </c>
      <c r="D24" s="197">
        <v>0</v>
      </c>
      <c r="E24" s="175">
        <v>0.16700042806000001</v>
      </c>
      <c r="F24" s="175">
        <v>7.0205309950499997</v>
      </c>
      <c r="G24" s="197">
        <v>1.0059999999999999E-3</v>
      </c>
      <c r="H24" s="175">
        <v>1.0059999999999999E-3</v>
      </c>
      <c r="I24" s="25"/>
      <c r="J24" s="25"/>
      <c r="K24" s="25"/>
      <c r="L24" s="25"/>
      <c r="M24" s="25"/>
      <c r="N24" s="25"/>
      <c r="O24" s="25"/>
      <c r="P24" s="25"/>
      <c r="Q24" s="25"/>
    </row>
    <row r="25" spans="1:19" outlineLevel="2" x14ac:dyDescent="0.3">
      <c r="A25" s="254" t="s">
        <v>184</v>
      </c>
      <c r="B25" s="175">
        <v>0.94627132542000003</v>
      </c>
      <c r="C25" s="175">
        <v>35.941655990729998</v>
      </c>
      <c r="D25" s="197">
        <v>6.5120000000000004E-3</v>
      </c>
      <c r="E25" s="175">
        <v>0.84658439538999997</v>
      </c>
      <c r="F25" s="175">
        <v>35.589561397920001</v>
      </c>
      <c r="G25" s="197">
        <v>5.0980000000000001E-3</v>
      </c>
      <c r="H25" s="175">
        <v>-1.413E-3</v>
      </c>
      <c r="I25" s="25"/>
      <c r="J25" s="25"/>
      <c r="K25" s="25"/>
      <c r="L25" s="25"/>
      <c r="M25" s="25"/>
      <c r="N25" s="25"/>
      <c r="O25" s="25"/>
      <c r="P25" s="25"/>
      <c r="Q25" s="25"/>
    </row>
    <row r="26" spans="1:19" outlineLevel="2" x14ac:dyDescent="0.3">
      <c r="A26" s="254" t="s">
        <v>185</v>
      </c>
      <c r="B26" s="175">
        <v>3.8221106354200001</v>
      </c>
      <c r="C26" s="175">
        <v>145.172935</v>
      </c>
      <c r="D26" s="197">
        <v>2.6301000000000001E-2</v>
      </c>
      <c r="E26" s="175">
        <v>3.4532918243499999</v>
      </c>
      <c r="F26" s="175">
        <v>145.172935</v>
      </c>
      <c r="G26" s="197">
        <v>2.0795999999999999E-2</v>
      </c>
      <c r="H26" s="175">
        <v>-5.5059999999999996E-3</v>
      </c>
      <c r="I26" s="25"/>
      <c r="J26" s="25"/>
      <c r="K26" s="25"/>
      <c r="L26" s="25"/>
      <c r="M26" s="25"/>
      <c r="N26" s="25"/>
      <c r="O26" s="25"/>
      <c r="P26" s="25"/>
      <c r="Q26" s="25"/>
    </row>
    <row r="27" spans="1:19" outlineLevel="2" x14ac:dyDescent="0.3">
      <c r="A27" s="254" t="s">
        <v>186</v>
      </c>
      <c r="B27" s="175">
        <v>7.37183537643</v>
      </c>
      <c r="C27" s="175">
        <v>280</v>
      </c>
      <c r="D27" s="197">
        <v>5.0728000000000002E-2</v>
      </c>
      <c r="E27" s="175">
        <v>6.6604819334499998</v>
      </c>
      <c r="F27" s="175">
        <v>280</v>
      </c>
      <c r="G27" s="197">
        <v>4.0108999999999999E-2</v>
      </c>
      <c r="H27" s="175">
        <v>-1.0619E-2</v>
      </c>
      <c r="I27" s="25"/>
      <c r="J27" s="25"/>
      <c r="K27" s="25"/>
      <c r="L27" s="25"/>
      <c r="M27" s="25"/>
      <c r="N27" s="25"/>
      <c r="O27" s="25"/>
      <c r="P27" s="25"/>
      <c r="Q27" s="25"/>
    </row>
    <row r="28" spans="1:19" outlineLevel="2" x14ac:dyDescent="0.3">
      <c r="A28" s="254" t="s">
        <v>187</v>
      </c>
      <c r="B28" s="175">
        <v>14.23695525804</v>
      </c>
      <c r="C28" s="175">
        <v>540.75372939198996</v>
      </c>
      <c r="D28" s="197">
        <v>9.7969000000000001E-2</v>
      </c>
      <c r="E28" s="175">
        <v>17.665421749109999</v>
      </c>
      <c r="F28" s="175">
        <v>742.63666491172</v>
      </c>
      <c r="G28" s="197">
        <v>0.106381</v>
      </c>
      <c r="H28" s="175">
        <v>8.4119999999999993E-3</v>
      </c>
      <c r="I28" s="25"/>
      <c r="J28" s="25"/>
      <c r="K28" s="25"/>
      <c r="L28" s="25"/>
      <c r="M28" s="25"/>
      <c r="N28" s="25"/>
      <c r="O28" s="25"/>
      <c r="P28" s="25"/>
      <c r="Q28" s="25"/>
    </row>
    <row r="29" spans="1:19" outlineLevel="2" x14ac:dyDescent="0.3">
      <c r="A29" s="254" t="s">
        <v>189</v>
      </c>
      <c r="B29" s="175">
        <v>94.195619823490006</v>
      </c>
      <c r="C29" s="175">
        <v>3577.77571038616</v>
      </c>
      <c r="D29" s="197">
        <v>0.64819099999999996</v>
      </c>
      <c r="E29" s="175">
        <v>105.66676392895999</v>
      </c>
      <c r="F29" s="175">
        <v>4442.1250888041805</v>
      </c>
      <c r="G29" s="197">
        <v>0.63632200000000005</v>
      </c>
      <c r="H29" s="175">
        <v>-1.1868E-2</v>
      </c>
      <c r="I29" s="25"/>
      <c r="J29" s="25"/>
      <c r="K29" s="25"/>
      <c r="L29" s="25"/>
      <c r="M29" s="25"/>
      <c r="N29" s="25"/>
      <c r="O29" s="25"/>
      <c r="P29" s="25"/>
      <c r="Q29" s="25"/>
    </row>
    <row r="30" spans="1:19" ht="14.5" outlineLevel="1" x14ac:dyDescent="0.35">
      <c r="A30" s="226" t="s">
        <v>2</v>
      </c>
      <c r="B30" s="227">
        <f t="shared" ref="B30:H30" si="3">SUM(B$31:B$36)</f>
        <v>8.7289038365499998</v>
      </c>
      <c r="C30" s="227">
        <f t="shared" si="3"/>
        <v>331.54471708272001</v>
      </c>
      <c r="D30" s="228">
        <f t="shared" si="3"/>
        <v>6.0067000000000009E-2</v>
      </c>
      <c r="E30" s="227">
        <f t="shared" si="3"/>
        <v>6.8629393971300008</v>
      </c>
      <c r="F30" s="227">
        <f t="shared" si="3"/>
        <v>288.51110931761002</v>
      </c>
      <c r="G30" s="228">
        <f t="shared" si="3"/>
        <v>4.1328999999999998E-2</v>
      </c>
      <c r="H30" s="227">
        <f t="shared" si="3"/>
        <v>-1.8738999999999999E-2</v>
      </c>
      <c r="I30" s="25"/>
      <c r="J30" s="25"/>
      <c r="K30" s="25"/>
      <c r="L30" s="25"/>
      <c r="M30" s="25"/>
      <c r="N30" s="25"/>
      <c r="O30" s="25"/>
      <c r="P30" s="25"/>
      <c r="Q30" s="25"/>
    </row>
    <row r="31" spans="1:19" outlineLevel="2" x14ac:dyDescent="0.3">
      <c r="A31" s="254" t="s">
        <v>181</v>
      </c>
      <c r="B31" s="175">
        <v>1.24028520293</v>
      </c>
      <c r="C31" s="175">
        <v>47.10900869132</v>
      </c>
      <c r="D31" s="197">
        <v>8.5349999999999992E-3</v>
      </c>
      <c r="E31" s="175">
        <v>1.27047991403</v>
      </c>
      <c r="F31" s="175">
        <v>53.409705106540002</v>
      </c>
      <c r="G31" s="197">
        <v>7.6509999999999998E-3</v>
      </c>
      <c r="H31" s="175">
        <v>-8.8400000000000002E-4</v>
      </c>
      <c r="I31" s="25"/>
      <c r="J31" s="25"/>
      <c r="K31" s="25"/>
      <c r="L31" s="25"/>
      <c r="M31" s="25"/>
      <c r="N31" s="25"/>
      <c r="O31" s="25"/>
      <c r="P31" s="25"/>
      <c r="Q31" s="25"/>
    </row>
    <row r="32" spans="1:19" outlineLevel="2" x14ac:dyDescent="0.3">
      <c r="A32" s="254" t="s">
        <v>182</v>
      </c>
      <c r="B32" s="175">
        <v>1.36228524724</v>
      </c>
      <c r="C32" s="175">
        <v>51.742863174770001</v>
      </c>
      <c r="D32" s="197">
        <v>9.3740000000000004E-3</v>
      </c>
      <c r="E32" s="175">
        <v>1.33855895851</v>
      </c>
      <c r="F32" s="175">
        <v>56.271680056800001</v>
      </c>
      <c r="G32" s="197">
        <v>8.0610000000000005E-3</v>
      </c>
      <c r="H32" s="175">
        <v>-1.3140000000000001E-3</v>
      </c>
      <c r="I32" s="25"/>
      <c r="J32" s="25"/>
      <c r="K32" s="25"/>
      <c r="L32" s="25"/>
      <c r="M32" s="25"/>
      <c r="N32" s="25"/>
      <c r="O32" s="25"/>
      <c r="P32" s="25"/>
      <c r="Q32" s="25"/>
    </row>
    <row r="33" spans="1:17" outlineLevel="2" x14ac:dyDescent="0.3">
      <c r="A33" s="254" t="s">
        <v>186</v>
      </c>
      <c r="B33" s="175">
        <v>0.31851396976000002</v>
      </c>
      <c r="C33" s="175">
        <v>12.09792500532</v>
      </c>
      <c r="D33" s="197">
        <v>2.1919999999999999E-3</v>
      </c>
      <c r="E33" s="175">
        <v>0.26215407943000002</v>
      </c>
      <c r="F33" s="175">
        <v>11.02069534536</v>
      </c>
      <c r="G33" s="197">
        <v>1.5790000000000001E-3</v>
      </c>
      <c r="H33" s="175">
        <v>-6.1300000000000005E-4</v>
      </c>
      <c r="I33" s="25"/>
      <c r="J33" s="25"/>
      <c r="K33" s="25"/>
      <c r="L33" s="25"/>
      <c r="M33" s="25"/>
      <c r="N33" s="25"/>
      <c r="O33" s="25"/>
      <c r="P33" s="25"/>
      <c r="Q33" s="25"/>
    </row>
    <row r="34" spans="1:17" outlineLevel="2" x14ac:dyDescent="0.3">
      <c r="A34" s="254" t="s">
        <v>187</v>
      </c>
      <c r="B34" s="175">
        <v>2.2399241533700001</v>
      </c>
      <c r="C34" s="175">
        <v>85.077695162859996</v>
      </c>
      <c r="D34" s="197">
        <v>1.5414000000000001E-2</v>
      </c>
      <c r="E34" s="175">
        <v>1.2505913236099999</v>
      </c>
      <c r="F34" s="175">
        <v>52.57360865359</v>
      </c>
      <c r="G34" s="197">
        <v>7.5310000000000004E-3</v>
      </c>
      <c r="H34" s="175">
        <v>-7.8829999999999994E-3</v>
      </c>
      <c r="I34" s="25"/>
      <c r="J34" s="25"/>
      <c r="K34" s="25"/>
      <c r="L34" s="25"/>
      <c r="M34" s="25"/>
      <c r="N34" s="25"/>
      <c r="O34" s="25"/>
      <c r="P34" s="25"/>
      <c r="Q34" s="25"/>
    </row>
    <row r="35" spans="1:17" outlineLevel="2" x14ac:dyDescent="0.3">
      <c r="A35" s="254" t="s">
        <v>188</v>
      </c>
      <c r="B35" s="175">
        <v>0.39362851141999999</v>
      </c>
      <c r="C35" s="175">
        <v>14.950955572350001</v>
      </c>
      <c r="D35" s="197">
        <v>2.709E-3</v>
      </c>
      <c r="E35" s="175">
        <v>0.44632774571</v>
      </c>
      <c r="F35" s="175">
        <v>18.763172101190001</v>
      </c>
      <c r="G35" s="197">
        <v>2.6879999999999999E-3</v>
      </c>
      <c r="H35" s="175">
        <v>-2.0999999999999999E-5</v>
      </c>
      <c r="I35" s="25"/>
      <c r="J35" s="25"/>
      <c r="K35" s="25"/>
      <c r="L35" s="25"/>
      <c r="M35" s="25"/>
      <c r="N35" s="25"/>
      <c r="O35" s="25"/>
      <c r="P35" s="25"/>
      <c r="Q35" s="25"/>
    </row>
    <row r="36" spans="1:17" outlineLevel="2" x14ac:dyDescent="0.3">
      <c r="A36" s="254" t="s">
        <v>189</v>
      </c>
      <c r="B36" s="175">
        <v>3.1742667518299998</v>
      </c>
      <c r="C36" s="175">
        <v>120.5662694761</v>
      </c>
      <c r="D36" s="197">
        <v>2.1843000000000001E-2</v>
      </c>
      <c r="E36" s="175">
        <v>2.2948273758400002</v>
      </c>
      <c r="F36" s="175">
        <v>96.472248054130006</v>
      </c>
      <c r="G36" s="197">
        <v>1.3819E-2</v>
      </c>
      <c r="H36" s="175">
        <v>-8.0239999999999999E-3</v>
      </c>
      <c r="I36" s="25"/>
      <c r="J36" s="25"/>
      <c r="K36" s="25"/>
      <c r="L36" s="25"/>
      <c r="M36" s="25"/>
      <c r="N36" s="25"/>
      <c r="O36" s="25"/>
      <c r="P36" s="25"/>
      <c r="Q36" s="25"/>
    </row>
    <row r="37" spans="1:17" x14ac:dyDescent="0.3">
      <c r="B37" s="24"/>
      <c r="C37" s="24"/>
      <c r="D37" s="62"/>
      <c r="E37" s="24"/>
      <c r="F37" s="24"/>
      <c r="G37" s="62"/>
      <c r="H37" s="24"/>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sheetData>
  <mergeCells count="5">
    <mergeCell ref="A2:H2"/>
    <mergeCell ref="B5:D5"/>
    <mergeCell ref="E5:G5"/>
    <mergeCell ref="B18:D18"/>
    <mergeCell ref="E18:G18"/>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tabColor indexed="52"/>
    <outlinePr applyStyles="1" summaryBelow="0"/>
    <pageSetUpPr fitToPage="1"/>
  </sheetPr>
  <dimension ref="A2:S248"/>
  <sheetViews>
    <sheetView workbookViewId="0">
      <selection activeCell="A4" sqref="A4"/>
    </sheetView>
  </sheetViews>
  <sheetFormatPr defaultColWidth="9.1796875" defaultRowHeight="13" outlineLevelRow="1" x14ac:dyDescent="0.3"/>
  <cols>
    <col min="1" max="1" width="66" style="21" bestFit="1" customWidth="1"/>
    <col min="2" max="2" width="17" style="22" customWidth="1"/>
    <col min="3" max="3" width="18.26953125" style="22" customWidth="1"/>
    <col min="4" max="4" width="11.453125" style="71" bestFit="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31.12.2024</v>
      </c>
      <c r="B2" s="280"/>
      <c r="C2" s="280"/>
      <c r="D2" s="280"/>
      <c r="E2" s="25"/>
      <c r="F2" s="25"/>
      <c r="G2" s="25"/>
      <c r="H2" s="25"/>
      <c r="I2" s="25"/>
      <c r="J2" s="25"/>
      <c r="K2" s="25"/>
      <c r="L2" s="25"/>
      <c r="M2" s="25"/>
      <c r="N2" s="25"/>
      <c r="O2" s="25"/>
      <c r="P2" s="25"/>
      <c r="Q2" s="25"/>
      <c r="R2" s="25"/>
      <c r="S2" s="25"/>
    </row>
    <row r="3" spans="1:19" ht="18.5" x14ac:dyDescent="0.45">
      <c r="A3" s="282" t="str">
        <f>BY_REPAYMENT_CURR</f>
        <v>(в розрізі валют погашення)</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1"/>
      <c r="B6" s="142" t="str">
        <f>IF(REPORT_LANG="UKR","дол.США","USD")</f>
        <v>дол.США</v>
      </c>
      <c r="C6" s="142" t="str">
        <f>IF(REPORT_LANG="UKR","грн.","UAH")</f>
        <v>грн.</v>
      </c>
      <c r="D6" s="68" t="s">
        <v>0</v>
      </c>
    </row>
    <row r="7" spans="1:19" s="14" customFormat="1" ht="15.5" x14ac:dyDescent="0.25">
      <c r="A7" s="143"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7" s="83">
        <f>SUM(B8:B26)</f>
        <v>166.05851744312002</v>
      </c>
      <c r="C7" s="83">
        <f>SUM(C8:C26)</f>
        <v>6980.93401478539</v>
      </c>
      <c r="D7" s="84">
        <f>SUM(D8:D26)</f>
        <v>1</v>
      </c>
    </row>
    <row r="8" spans="1:19" s="37" customFormat="1" outlineLevel="1" x14ac:dyDescent="0.25">
      <c r="A8" s="159" t="s">
        <v>201</v>
      </c>
      <c r="B8" s="165">
        <v>0.19013951203000001</v>
      </c>
      <c r="C8" s="165">
        <v>7.9932749460499997</v>
      </c>
      <c r="D8" s="229">
        <v>1.145E-3</v>
      </c>
    </row>
    <row r="9" spans="1:19" s="37" customFormat="1" outlineLevel="1" x14ac:dyDescent="0.25">
      <c r="A9" s="159" t="s">
        <v>202</v>
      </c>
      <c r="B9" s="165">
        <v>44.523593051120002</v>
      </c>
      <c r="C9" s="165">
        <v>1871.72732827603</v>
      </c>
      <c r="D9" s="229">
        <v>0.26812000000000002</v>
      </c>
    </row>
    <row r="10" spans="1:19" s="37" customFormat="1" outlineLevel="1" x14ac:dyDescent="0.25">
      <c r="A10" s="159" t="s">
        <v>203</v>
      </c>
      <c r="B10" s="165">
        <v>54.822423933229999</v>
      </c>
      <c r="C10" s="165">
        <v>2304.6798797312599</v>
      </c>
      <c r="D10" s="229">
        <v>0.33013900000000002</v>
      </c>
    </row>
    <row r="11" spans="1:19" s="37" customFormat="1" outlineLevel="1" x14ac:dyDescent="0.25">
      <c r="A11" s="159" t="s">
        <v>204</v>
      </c>
      <c r="B11" s="165">
        <v>4.6918914579299997</v>
      </c>
      <c r="C11" s="165">
        <v>197.242425</v>
      </c>
      <c r="D11" s="229">
        <v>2.8254000000000001E-2</v>
      </c>
    </row>
    <row r="12" spans="1:19" s="37" customFormat="1" outlineLevel="1" x14ac:dyDescent="0.25">
      <c r="A12" s="159" t="s">
        <v>205</v>
      </c>
      <c r="B12" s="165">
        <v>18.916013072719998</v>
      </c>
      <c r="C12" s="165">
        <v>795.21027356530999</v>
      </c>
      <c r="D12" s="229">
        <v>0.113912</v>
      </c>
    </row>
    <row r="13" spans="1:19" outlineLevel="1" x14ac:dyDescent="0.3">
      <c r="A13" s="240" t="s">
        <v>206</v>
      </c>
      <c r="B13" s="175">
        <v>42.067872020700001</v>
      </c>
      <c r="C13" s="175">
        <v>1768.4912718688199</v>
      </c>
      <c r="D13" s="197">
        <v>0.253332</v>
      </c>
      <c r="E13" s="25"/>
      <c r="F13" s="25"/>
      <c r="G13" s="25"/>
      <c r="H13" s="25"/>
      <c r="I13" s="25"/>
      <c r="J13" s="25"/>
      <c r="K13" s="25"/>
      <c r="L13" s="25"/>
      <c r="M13" s="25"/>
      <c r="N13" s="25"/>
      <c r="O13" s="25"/>
      <c r="P13" s="25"/>
      <c r="Q13" s="25"/>
    </row>
    <row r="14" spans="1:19" outlineLevel="1" x14ac:dyDescent="0.3">
      <c r="A14" s="240" t="s">
        <v>207</v>
      </c>
      <c r="B14" s="175">
        <v>0.84658439538999997</v>
      </c>
      <c r="C14" s="175">
        <v>35.589561397920001</v>
      </c>
      <c r="D14" s="197">
        <v>5.0980000000000001E-3</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row r="246" spans="2:17" x14ac:dyDescent="0.3">
      <c r="B246" s="24"/>
      <c r="C246" s="24"/>
      <c r="D246" s="62"/>
      <c r="E246" s="25"/>
      <c r="F246" s="25"/>
      <c r="G246" s="25"/>
      <c r="H246" s="25"/>
      <c r="I246" s="25"/>
      <c r="J246" s="25"/>
      <c r="K246" s="25"/>
      <c r="L246" s="25"/>
      <c r="M246" s="25"/>
      <c r="N246" s="25"/>
      <c r="O246" s="25"/>
      <c r="P246" s="25"/>
      <c r="Q246" s="25"/>
    </row>
    <row r="247" spans="2:17" x14ac:dyDescent="0.3">
      <c r="B247" s="24"/>
      <c r="C247" s="24"/>
      <c r="D247" s="62"/>
      <c r="E247" s="25"/>
      <c r="F247" s="25"/>
      <c r="G247" s="25"/>
      <c r="H247" s="25"/>
      <c r="I247" s="25"/>
      <c r="J247" s="25"/>
      <c r="K247" s="25"/>
      <c r="L247" s="25"/>
      <c r="M247" s="25"/>
      <c r="N247" s="25"/>
      <c r="O247" s="25"/>
      <c r="P247" s="25"/>
      <c r="Q247" s="25"/>
    </row>
    <row r="248" spans="2:17" x14ac:dyDescent="0.3">
      <c r="B248" s="24"/>
      <c r="C248" s="24"/>
      <c r="D248" s="62"/>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52"/>
    <outlinePr applyStyles="1" summaryBelow="0"/>
    <pageSetUpPr fitToPage="1"/>
  </sheetPr>
  <dimension ref="A2:S245"/>
  <sheetViews>
    <sheetView workbookViewId="0">
      <selection activeCell="A3" sqref="A3:D3"/>
    </sheetView>
  </sheetViews>
  <sheetFormatPr defaultColWidth="9.1796875" defaultRowHeight="13" outlineLevelRow="2" x14ac:dyDescent="0.3"/>
  <cols>
    <col min="1" max="1" width="66" style="21" bestFit="1" customWidth="1"/>
    <col min="2" max="2" width="14.453125" style="22" bestFit="1" customWidth="1"/>
    <col min="3" max="3" width="16" style="22" bestFit="1" customWidth="1"/>
    <col min="4" max="4" width="11.453125" style="71" bestFit="1" customWidth="1"/>
    <col min="5" max="5" width="9.1796875" style="21" customWidth="1"/>
    <col min="6" max="16384" width="9.1796875" style="21"/>
  </cols>
  <sheetData>
    <row r="2" spans="1:19" ht="36" customHeight="1" x14ac:dyDescent="0.45">
      <c r="A2" s="279" t="str">
        <f>DEBT_AS_OF_DATE</f>
        <v>Державний та гарантований державою борг України
станом на 31.12.2024</v>
      </c>
      <c r="B2" s="280"/>
      <c r="C2" s="280"/>
      <c r="D2" s="280"/>
      <c r="E2" s="25"/>
      <c r="F2" s="25"/>
      <c r="G2" s="25"/>
      <c r="H2" s="25"/>
      <c r="I2" s="25"/>
      <c r="J2" s="25"/>
      <c r="K2" s="25"/>
      <c r="L2" s="25"/>
      <c r="M2" s="25"/>
      <c r="N2" s="25"/>
      <c r="O2" s="25"/>
      <c r="P2" s="25"/>
      <c r="Q2" s="25"/>
      <c r="R2" s="25"/>
      <c r="S2" s="25"/>
    </row>
    <row r="3" spans="1:19" ht="18.5" x14ac:dyDescent="0.45">
      <c r="A3" s="282" t="str">
        <f>BY_REPAYMENT_CURR</f>
        <v>(в розрізі валют погашення)</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1"/>
      <c r="B6" s="67" t="str">
        <f>USD</f>
        <v>дол.США</v>
      </c>
      <c r="C6" s="67" t="str">
        <f>UAH</f>
        <v>грн.</v>
      </c>
      <c r="D6" s="68" t="s">
        <v>0</v>
      </c>
    </row>
    <row r="7" spans="1:19" s="14" customFormat="1" ht="15.5" x14ac:dyDescent="0.25">
      <c r="A7" s="143" t="str">
        <f>DEBT_TOTAL</f>
        <v>Загальна сума державного та гарантованого державою боргу</v>
      </c>
      <c r="B7" s="83">
        <f>SUM(B8:B18)</f>
        <v>166.05851744312002</v>
      </c>
      <c r="C7" s="83">
        <f>SUM(C8:C18)</f>
        <v>6980.93401478539</v>
      </c>
      <c r="D7" s="84">
        <f>SUM(D8:D18)</f>
        <v>1</v>
      </c>
    </row>
    <row r="8" spans="1:19" s="37" customFormat="1" outlineLevel="1" x14ac:dyDescent="0.25">
      <c r="A8" s="159" t="s">
        <v>201</v>
      </c>
      <c r="B8" s="165">
        <v>0.19013951203000001</v>
      </c>
      <c r="C8" s="165">
        <v>7.9932749460499997</v>
      </c>
      <c r="D8" s="229">
        <v>1.145E-3</v>
      </c>
    </row>
    <row r="9" spans="1:19" s="37" customFormat="1" outlineLevel="1" x14ac:dyDescent="0.25">
      <c r="A9" s="159" t="s">
        <v>202</v>
      </c>
      <c r="B9" s="165">
        <v>44.523593051120002</v>
      </c>
      <c r="C9" s="165">
        <v>1871.72732827603</v>
      </c>
      <c r="D9" s="229">
        <v>0.26812000000000002</v>
      </c>
    </row>
    <row r="10" spans="1:19" s="37" customFormat="1" outlineLevel="1" x14ac:dyDescent="0.25">
      <c r="A10" s="159" t="s">
        <v>203</v>
      </c>
      <c r="B10" s="165">
        <v>54.822423933229999</v>
      </c>
      <c r="C10" s="165">
        <v>2304.6798797312599</v>
      </c>
      <c r="D10" s="229">
        <v>0.33013900000000002</v>
      </c>
    </row>
    <row r="11" spans="1:19" s="37" customFormat="1" outlineLevel="1" x14ac:dyDescent="0.25">
      <c r="A11" s="159" t="s">
        <v>204</v>
      </c>
      <c r="B11" s="165">
        <v>4.6918914579299997</v>
      </c>
      <c r="C11" s="165">
        <v>197.242425</v>
      </c>
      <c r="D11" s="229">
        <v>2.8254000000000001E-2</v>
      </c>
    </row>
    <row r="12" spans="1:19" s="37" customFormat="1" outlineLevel="1" x14ac:dyDescent="0.25">
      <c r="A12" s="159" t="s">
        <v>205</v>
      </c>
      <c r="B12" s="165">
        <v>18.916013072719998</v>
      </c>
      <c r="C12" s="165">
        <v>795.21027356530999</v>
      </c>
      <c r="D12" s="229">
        <v>0.113912</v>
      </c>
    </row>
    <row r="13" spans="1:19" outlineLevel="1" x14ac:dyDescent="0.3">
      <c r="A13" s="240" t="s">
        <v>206</v>
      </c>
      <c r="B13" s="175">
        <v>42.067872020700001</v>
      </c>
      <c r="C13" s="175">
        <v>1768.4912718688199</v>
      </c>
      <c r="D13" s="197">
        <v>0.253332</v>
      </c>
      <c r="E13" s="25"/>
      <c r="F13" s="25"/>
      <c r="G13" s="25"/>
      <c r="H13" s="25"/>
      <c r="I13" s="25"/>
      <c r="J13" s="25"/>
      <c r="K13" s="25"/>
      <c r="L13" s="25"/>
      <c r="M13" s="25"/>
      <c r="N13" s="25"/>
      <c r="O13" s="25"/>
      <c r="P13" s="25"/>
      <c r="Q13" s="25"/>
    </row>
    <row r="14" spans="1:19" outlineLevel="1" x14ac:dyDescent="0.3">
      <c r="A14" s="240" t="s">
        <v>207</v>
      </c>
      <c r="B14" s="175">
        <v>0.84658439538999997</v>
      </c>
      <c r="C14" s="175">
        <v>35.589561397920001</v>
      </c>
      <c r="D14" s="197">
        <v>5.0980000000000001E-3</v>
      </c>
      <c r="E14" s="25"/>
      <c r="F14" s="25"/>
      <c r="G14" s="25"/>
      <c r="H14" s="25"/>
      <c r="I14" s="25"/>
      <c r="J14" s="25"/>
      <c r="K14" s="25"/>
      <c r="L14" s="25"/>
      <c r="M14" s="25"/>
      <c r="N14" s="25"/>
      <c r="O14" s="25"/>
      <c r="P14" s="25"/>
      <c r="Q14" s="25"/>
    </row>
    <row r="15" spans="1:19" x14ac:dyDescent="0.3">
      <c r="B15" s="24"/>
      <c r="C15" s="24"/>
      <c r="D15" s="62"/>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1:19" x14ac:dyDescent="0.3">
      <c r="B17" s="24"/>
      <c r="C17" s="24"/>
      <c r="D17" s="62"/>
      <c r="E17" s="25"/>
      <c r="F17" s="25"/>
      <c r="G17" s="25"/>
      <c r="H17" s="25"/>
      <c r="I17" s="25"/>
      <c r="J17" s="25"/>
      <c r="K17" s="25"/>
      <c r="L17" s="25"/>
      <c r="M17" s="25"/>
      <c r="N17" s="25"/>
      <c r="O17" s="25"/>
      <c r="P17" s="25"/>
      <c r="Q17" s="25"/>
    </row>
    <row r="18" spans="1:19" x14ac:dyDescent="0.3">
      <c r="B18" s="24"/>
      <c r="C18" s="24"/>
      <c r="D18" s="62"/>
      <c r="E18" s="25"/>
      <c r="F18" s="25"/>
      <c r="G18" s="25"/>
      <c r="H18" s="25"/>
      <c r="I18" s="25"/>
      <c r="J18" s="25"/>
      <c r="K18" s="25"/>
      <c r="L18" s="25"/>
      <c r="M18" s="25"/>
      <c r="N18" s="25"/>
      <c r="O18" s="25"/>
      <c r="P18" s="25"/>
      <c r="Q18" s="25"/>
    </row>
    <row r="19" spans="1:19" x14ac:dyDescent="0.3">
      <c r="B19" s="24"/>
      <c r="C19" s="24"/>
      <c r="D19" s="62"/>
      <c r="E19" s="25"/>
      <c r="F19" s="25"/>
      <c r="G19" s="25"/>
      <c r="H19" s="25"/>
      <c r="I19" s="25"/>
      <c r="J19" s="25"/>
      <c r="K19" s="25"/>
      <c r="L19" s="25"/>
      <c r="M19" s="25"/>
      <c r="N19" s="25"/>
      <c r="O19" s="25"/>
      <c r="P19" s="25"/>
      <c r="Q19" s="25"/>
    </row>
    <row r="20" spans="1:19" x14ac:dyDescent="0.3">
      <c r="A20" s="39" t="str">
        <f>INCLUDING</f>
        <v>В тому числі:</v>
      </c>
      <c r="B20" s="24"/>
      <c r="C20" s="24"/>
      <c r="D20" s="62"/>
      <c r="E20" s="25"/>
      <c r="F20" s="25"/>
      <c r="G20" s="25"/>
      <c r="H20" s="25"/>
      <c r="I20" s="25"/>
      <c r="J20" s="25"/>
      <c r="K20" s="25"/>
      <c r="L20" s="25"/>
      <c r="M20" s="25"/>
      <c r="N20" s="25"/>
      <c r="O20" s="25"/>
      <c r="P20" s="25"/>
      <c r="Q20" s="25"/>
    </row>
    <row r="21" spans="1:19" x14ac:dyDescent="0.3">
      <c r="B21" s="75"/>
      <c r="C21" s="24"/>
      <c r="D21" s="26" t="str">
        <f>VALVAL</f>
        <v>млрд. одиниць</v>
      </c>
      <c r="E21" s="25"/>
      <c r="F21" s="25"/>
      <c r="G21" s="25"/>
      <c r="H21" s="25"/>
      <c r="I21" s="25"/>
      <c r="J21" s="25"/>
      <c r="K21" s="25"/>
      <c r="L21" s="25"/>
      <c r="M21" s="25"/>
      <c r="N21" s="25"/>
      <c r="O21" s="25"/>
      <c r="P21" s="25"/>
      <c r="Q21" s="25"/>
    </row>
    <row r="22" spans="1:19" s="33" customFormat="1" x14ac:dyDescent="0.3">
      <c r="A22" s="11"/>
      <c r="B22" s="67" t="str">
        <f>USD</f>
        <v>дол.США</v>
      </c>
      <c r="C22" s="67" t="str">
        <f>UAH</f>
        <v>грн.</v>
      </c>
      <c r="D22" s="68" t="s">
        <v>0</v>
      </c>
      <c r="E22" s="13"/>
      <c r="F22" s="13"/>
      <c r="G22" s="13"/>
      <c r="H22" s="13"/>
      <c r="I22" s="13"/>
      <c r="J22" s="13"/>
      <c r="K22" s="13"/>
      <c r="L22" s="13"/>
      <c r="M22" s="13"/>
      <c r="N22" s="13"/>
      <c r="O22" s="13"/>
      <c r="P22" s="13"/>
      <c r="Q22" s="13"/>
      <c r="R22" s="13"/>
      <c r="S22" s="13"/>
    </row>
    <row r="23" spans="1:19" s="35" customFormat="1" ht="14.5" x14ac:dyDescent="0.3">
      <c r="A23" s="151" t="str">
        <f>DEBT_TOTAL</f>
        <v>Загальна сума державного та гарантованого державою боргу</v>
      </c>
      <c r="B23" s="85">
        <f>B$32+B$24</f>
        <v>166.05851744312</v>
      </c>
      <c r="C23" s="85">
        <f>C$32+C$24</f>
        <v>6980.93401478539</v>
      </c>
      <c r="D23" s="86">
        <f>D$32+D$24</f>
        <v>1.0000000000000002</v>
      </c>
      <c r="E23" s="34"/>
      <c r="F23" s="34"/>
      <c r="G23" s="34"/>
      <c r="H23" s="34"/>
      <c r="I23" s="34"/>
      <c r="J23" s="34"/>
      <c r="K23" s="34"/>
      <c r="L23" s="34"/>
      <c r="M23" s="34"/>
      <c r="N23" s="34"/>
      <c r="O23" s="34"/>
      <c r="P23" s="34"/>
      <c r="Q23" s="34"/>
    </row>
    <row r="24" spans="1:19" s="61" customFormat="1" ht="14.5" outlineLevel="1" x14ac:dyDescent="0.35">
      <c r="A24" s="255" t="s">
        <v>1</v>
      </c>
      <c r="B24" s="256">
        <f>SUM(B$25:B$31)</f>
        <v>159.19557804599</v>
      </c>
      <c r="C24" s="256">
        <f>SUM(C$25:C$31)</f>
        <v>6692.4229054677799</v>
      </c>
      <c r="D24" s="257">
        <f>SUM(D$25:D$31)</f>
        <v>0.95867100000000016</v>
      </c>
      <c r="E24" s="60"/>
      <c r="F24" s="60"/>
      <c r="G24" s="60"/>
      <c r="H24" s="60"/>
      <c r="I24" s="60"/>
      <c r="J24" s="60"/>
      <c r="K24" s="60"/>
      <c r="L24" s="60"/>
      <c r="M24" s="60"/>
      <c r="N24" s="60"/>
      <c r="O24" s="60"/>
      <c r="P24" s="60"/>
      <c r="Q24" s="60"/>
    </row>
    <row r="25" spans="1:19" s="39" customFormat="1" outlineLevel="2" x14ac:dyDescent="0.3">
      <c r="A25" s="244" t="s">
        <v>201</v>
      </c>
      <c r="B25" s="160">
        <v>0.19013951203000001</v>
      </c>
      <c r="C25" s="160">
        <v>7.9932749460499997</v>
      </c>
      <c r="D25" s="163">
        <v>1.145E-3</v>
      </c>
      <c r="E25" s="38"/>
      <c r="F25" s="38"/>
      <c r="G25" s="38"/>
      <c r="H25" s="38"/>
      <c r="I25" s="38"/>
      <c r="J25" s="38"/>
      <c r="K25" s="38"/>
      <c r="L25" s="38"/>
      <c r="M25" s="38"/>
      <c r="N25" s="38"/>
      <c r="O25" s="38"/>
      <c r="P25" s="38"/>
      <c r="Q25" s="38"/>
    </row>
    <row r="26" spans="1:19" outlineLevel="2" x14ac:dyDescent="0.3">
      <c r="A26" s="244" t="s">
        <v>202</v>
      </c>
      <c r="B26" s="161">
        <v>41.946064231139999</v>
      </c>
      <c r="C26" s="161">
        <v>1763.3705942129</v>
      </c>
      <c r="D26" s="164">
        <v>0.25259799999999999</v>
      </c>
      <c r="E26" s="25"/>
      <c r="F26" s="25"/>
      <c r="G26" s="25"/>
      <c r="H26" s="25"/>
      <c r="I26" s="25"/>
      <c r="J26" s="25"/>
      <c r="K26" s="25"/>
      <c r="L26" s="25"/>
      <c r="M26" s="25"/>
      <c r="N26" s="25"/>
      <c r="O26" s="25"/>
      <c r="P26" s="25"/>
      <c r="Q26" s="25"/>
    </row>
    <row r="27" spans="1:19" outlineLevel="2" x14ac:dyDescent="0.3">
      <c r="A27" s="248" t="s">
        <v>203</v>
      </c>
      <c r="B27" s="175">
        <v>53.205683323819997</v>
      </c>
      <c r="C27" s="175">
        <v>2236.7137212514099</v>
      </c>
      <c r="D27" s="197">
        <v>0.32040299999999999</v>
      </c>
      <c r="E27" s="25"/>
      <c r="F27" s="25"/>
      <c r="G27" s="25"/>
      <c r="H27" s="25"/>
      <c r="I27" s="25"/>
      <c r="J27" s="25"/>
      <c r="K27" s="25"/>
      <c r="L27" s="25"/>
      <c r="M27" s="25"/>
      <c r="N27" s="25"/>
      <c r="O27" s="25"/>
      <c r="P27" s="25"/>
      <c r="Q27" s="25"/>
    </row>
    <row r="28" spans="1:19" outlineLevel="2" x14ac:dyDescent="0.3">
      <c r="A28" s="248" t="s">
        <v>204</v>
      </c>
      <c r="B28" s="175">
        <v>4.6918914579299997</v>
      </c>
      <c r="C28" s="175">
        <v>197.242425</v>
      </c>
      <c r="D28" s="197">
        <v>2.8254000000000001E-2</v>
      </c>
      <c r="E28" s="25"/>
      <c r="F28" s="25"/>
      <c r="G28" s="25"/>
      <c r="H28" s="25"/>
      <c r="I28" s="25"/>
      <c r="J28" s="25"/>
      <c r="K28" s="25"/>
      <c r="L28" s="25"/>
      <c r="M28" s="25"/>
      <c r="N28" s="25"/>
      <c r="O28" s="25"/>
      <c r="P28" s="25"/>
      <c r="Q28" s="25"/>
    </row>
    <row r="29" spans="1:19" outlineLevel="2" x14ac:dyDescent="0.3">
      <c r="A29" s="248" t="s">
        <v>205</v>
      </c>
      <c r="B29" s="175">
        <v>17.665421749109999</v>
      </c>
      <c r="C29" s="175">
        <v>742.63666491172</v>
      </c>
      <c r="D29" s="197">
        <v>0.106381</v>
      </c>
      <c r="E29" s="25"/>
      <c r="F29" s="25"/>
      <c r="G29" s="25"/>
      <c r="H29" s="25"/>
      <c r="I29" s="25"/>
      <c r="J29" s="25"/>
      <c r="K29" s="25"/>
      <c r="L29" s="25"/>
      <c r="M29" s="25"/>
      <c r="N29" s="25"/>
      <c r="O29" s="25"/>
      <c r="P29" s="25"/>
      <c r="Q29" s="25"/>
    </row>
    <row r="30" spans="1:19" outlineLevel="2" x14ac:dyDescent="0.3">
      <c r="A30" s="254" t="s">
        <v>206</v>
      </c>
      <c r="B30" s="175">
        <v>40.649793376570003</v>
      </c>
      <c r="C30" s="175">
        <v>1708.87666374778</v>
      </c>
      <c r="D30" s="197">
        <v>0.24479200000000001</v>
      </c>
      <c r="E30" s="25"/>
      <c r="F30" s="25"/>
      <c r="G30" s="25"/>
      <c r="H30" s="25"/>
      <c r="I30" s="25"/>
      <c r="J30" s="25"/>
      <c r="K30" s="25"/>
      <c r="L30" s="25"/>
      <c r="M30" s="25"/>
      <c r="N30" s="25"/>
      <c r="O30" s="25"/>
      <c r="P30" s="25"/>
      <c r="Q30" s="25"/>
    </row>
    <row r="31" spans="1:19" outlineLevel="2" x14ac:dyDescent="0.3">
      <c r="A31" s="254" t="s">
        <v>207</v>
      </c>
      <c r="B31" s="175">
        <v>0.84658439538999997</v>
      </c>
      <c r="C31" s="175">
        <v>35.589561397920001</v>
      </c>
      <c r="D31" s="197">
        <v>5.0980000000000001E-3</v>
      </c>
      <c r="E31" s="25"/>
      <c r="F31" s="25"/>
      <c r="G31" s="25"/>
      <c r="H31" s="25"/>
      <c r="I31" s="25"/>
      <c r="J31" s="25"/>
      <c r="K31" s="25"/>
      <c r="L31" s="25"/>
      <c r="M31" s="25"/>
      <c r="N31" s="25"/>
      <c r="O31" s="25"/>
      <c r="P31" s="25"/>
      <c r="Q31" s="25"/>
    </row>
    <row r="32" spans="1:19" ht="14.5" outlineLevel="1" x14ac:dyDescent="0.35">
      <c r="A32" s="258" t="s">
        <v>2</v>
      </c>
      <c r="B32" s="259">
        <f>SUM(B$33:B$36)</f>
        <v>6.8629393971300008</v>
      </c>
      <c r="C32" s="259">
        <f>SUM(C$33:C$36)</f>
        <v>288.51110931761002</v>
      </c>
      <c r="D32" s="260">
        <f>SUM(D$33:D$36)</f>
        <v>4.1328999999999998E-2</v>
      </c>
      <c r="E32" s="25"/>
      <c r="F32" s="25"/>
      <c r="G32" s="25"/>
      <c r="H32" s="25"/>
      <c r="I32" s="25"/>
      <c r="J32" s="25"/>
      <c r="K32" s="25"/>
      <c r="L32" s="25"/>
      <c r="M32" s="25"/>
      <c r="N32" s="25"/>
      <c r="O32" s="25"/>
      <c r="P32" s="25"/>
      <c r="Q32" s="25"/>
    </row>
    <row r="33" spans="1:17" outlineLevel="2" x14ac:dyDescent="0.3">
      <c r="A33" s="254" t="s">
        <v>202</v>
      </c>
      <c r="B33" s="175">
        <v>2.5775288199799999</v>
      </c>
      <c r="C33" s="175">
        <v>108.35673406313001</v>
      </c>
      <c r="D33" s="197">
        <v>1.5521999999999999E-2</v>
      </c>
      <c r="E33" s="25"/>
      <c r="F33" s="25"/>
      <c r="G33" s="25"/>
      <c r="H33" s="25"/>
      <c r="I33" s="25"/>
      <c r="J33" s="25"/>
      <c r="K33" s="25"/>
      <c r="L33" s="25"/>
      <c r="M33" s="25"/>
      <c r="N33" s="25"/>
      <c r="O33" s="25"/>
      <c r="P33" s="25"/>
      <c r="Q33" s="25"/>
    </row>
    <row r="34" spans="1:17" outlineLevel="2" x14ac:dyDescent="0.3">
      <c r="A34" s="254" t="s">
        <v>203</v>
      </c>
      <c r="B34" s="175">
        <v>1.6167406094100001</v>
      </c>
      <c r="C34" s="175">
        <v>67.966158479849994</v>
      </c>
      <c r="D34" s="197">
        <v>9.7359999999999999E-3</v>
      </c>
      <c r="E34" s="25"/>
      <c r="F34" s="25"/>
      <c r="G34" s="25"/>
      <c r="H34" s="25"/>
      <c r="I34" s="25"/>
      <c r="J34" s="25"/>
      <c r="K34" s="25"/>
      <c r="L34" s="25"/>
      <c r="M34" s="25"/>
      <c r="N34" s="25"/>
      <c r="O34" s="25"/>
      <c r="P34" s="25"/>
      <c r="Q34" s="25"/>
    </row>
    <row r="35" spans="1:17" outlineLevel="2" x14ac:dyDescent="0.3">
      <c r="A35" s="254" t="s">
        <v>205</v>
      </c>
      <c r="B35" s="175">
        <v>1.2505913236099999</v>
      </c>
      <c r="C35" s="175">
        <v>52.57360865359</v>
      </c>
      <c r="D35" s="197">
        <v>7.5310000000000004E-3</v>
      </c>
      <c r="E35" s="25"/>
      <c r="F35" s="25"/>
      <c r="G35" s="25"/>
      <c r="H35" s="25"/>
      <c r="I35" s="25"/>
      <c r="J35" s="25"/>
      <c r="K35" s="25"/>
      <c r="L35" s="25"/>
      <c r="M35" s="25"/>
      <c r="N35" s="25"/>
      <c r="O35" s="25"/>
      <c r="P35" s="25"/>
      <c r="Q35" s="25"/>
    </row>
    <row r="36" spans="1:17" outlineLevel="2" x14ac:dyDescent="0.3">
      <c r="A36" s="254" t="s">
        <v>206</v>
      </c>
      <c r="B36" s="175">
        <v>1.41807864413</v>
      </c>
      <c r="C36" s="175">
        <v>59.61460812104</v>
      </c>
      <c r="D36" s="197">
        <v>8.5400000000000007E-3</v>
      </c>
      <c r="E36" s="25"/>
      <c r="F36" s="25"/>
      <c r="G36" s="25"/>
      <c r="H36" s="25"/>
      <c r="I36" s="25"/>
      <c r="J36" s="25"/>
      <c r="K36" s="25"/>
      <c r="L36" s="25"/>
      <c r="M36" s="25"/>
      <c r="N36" s="25"/>
      <c r="O36" s="25"/>
      <c r="P36" s="25"/>
      <c r="Q36" s="25"/>
    </row>
    <row r="37" spans="1:17" x14ac:dyDescent="0.3">
      <c r="B37" s="24"/>
      <c r="C37" s="24"/>
      <c r="D37" s="62"/>
      <c r="E37" s="25"/>
      <c r="F37" s="25"/>
      <c r="G37" s="25"/>
      <c r="H37" s="25"/>
      <c r="I37" s="25"/>
      <c r="J37" s="25"/>
      <c r="K37" s="25"/>
      <c r="L37" s="25"/>
      <c r="M37" s="25"/>
      <c r="N37" s="25"/>
      <c r="O37" s="25"/>
      <c r="P37" s="25"/>
      <c r="Q37" s="25"/>
    </row>
    <row r="38" spans="1:17" x14ac:dyDescent="0.3">
      <c r="B38" s="24"/>
      <c r="C38" s="24"/>
      <c r="D38" s="62"/>
      <c r="E38" s="25"/>
      <c r="F38" s="25"/>
      <c r="G38" s="25"/>
      <c r="H38" s="25"/>
      <c r="I38" s="25"/>
      <c r="J38" s="25"/>
      <c r="K38" s="25"/>
      <c r="L38" s="25"/>
      <c r="M38" s="25"/>
      <c r="N38" s="25"/>
      <c r="O38" s="25"/>
      <c r="P38" s="25"/>
      <c r="Q38" s="25"/>
    </row>
    <row r="39" spans="1:17" x14ac:dyDescent="0.3">
      <c r="B39" s="24"/>
      <c r="C39" s="24"/>
      <c r="D39" s="62"/>
      <c r="E39" s="25"/>
      <c r="F39" s="25"/>
      <c r="G39" s="25"/>
      <c r="H39" s="25"/>
      <c r="I39" s="25"/>
      <c r="J39" s="25"/>
      <c r="K39" s="25"/>
      <c r="L39" s="25"/>
      <c r="M39" s="25"/>
      <c r="N39" s="25"/>
      <c r="O39" s="25"/>
      <c r="P39" s="25"/>
      <c r="Q39" s="25"/>
    </row>
    <row r="40" spans="1:17" x14ac:dyDescent="0.3">
      <c r="B40" s="24"/>
      <c r="C40" s="24"/>
      <c r="D40" s="62"/>
      <c r="E40" s="25"/>
      <c r="F40" s="25"/>
      <c r="G40" s="25"/>
      <c r="H40" s="25"/>
      <c r="I40" s="25"/>
      <c r="J40" s="25"/>
      <c r="K40" s="25"/>
      <c r="L40" s="25"/>
      <c r="M40" s="25"/>
      <c r="N40" s="25"/>
      <c r="O40" s="25"/>
      <c r="P40" s="25"/>
      <c r="Q40" s="25"/>
    </row>
    <row r="41" spans="1:17" x14ac:dyDescent="0.3">
      <c r="B41" s="24"/>
      <c r="C41" s="24"/>
      <c r="D41" s="62"/>
      <c r="E41" s="25"/>
      <c r="F41" s="25"/>
      <c r="G41" s="25"/>
      <c r="H41" s="25"/>
      <c r="I41" s="25"/>
      <c r="J41" s="25"/>
      <c r="K41" s="25"/>
      <c r="L41" s="25"/>
      <c r="M41" s="25"/>
      <c r="N41" s="25"/>
      <c r="O41" s="25"/>
      <c r="P41" s="25"/>
      <c r="Q41" s="25"/>
    </row>
    <row r="42" spans="1:17" x14ac:dyDescent="0.3">
      <c r="B42" s="24"/>
      <c r="C42" s="24"/>
      <c r="D42" s="62"/>
      <c r="E42" s="25"/>
      <c r="F42" s="25"/>
      <c r="G42" s="25"/>
      <c r="H42" s="25"/>
      <c r="I42" s="25"/>
      <c r="J42" s="25"/>
      <c r="K42" s="25"/>
      <c r="L42" s="25"/>
      <c r="M42" s="25"/>
      <c r="N42" s="25"/>
      <c r="O42" s="25"/>
      <c r="P42" s="25"/>
      <c r="Q42" s="25"/>
    </row>
    <row r="43" spans="1:17" x14ac:dyDescent="0.3">
      <c r="B43" s="24"/>
      <c r="C43" s="24"/>
      <c r="D43" s="62"/>
      <c r="E43" s="25"/>
      <c r="F43" s="25"/>
      <c r="G43" s="25"/>
      <c r="H43" s="25"/>
      <c r="I43" s="25"/>
      <c r="J43" s="25"/>
      <c r="K43" s="25"/>
      <c r="L43" s="25"/>
      <c r="M43" s="25"/>
      <c r="N43" s="25"/>
      <c r="O43" s="25"/>
      <c r="P43" s="25"/>
      <c r="Q43" s="25"/>
    </row>
    <row r="44" spans="1:17" x14ac:dyDescent="0.3">
      <c r="B44" s="24"/>
      <c r="C44" s="24"/>
      <c r="D44" s="62"/>
      <c r="E44" s="25"/>
      <c r="F44" s="25"/>
      <c r="G44" s="25"/>
      <c r="H44" s="25"/>
      <c r="I44" s="25"/>
      <c r="J44" s="25"/>
      <c r="K44" s="25"/>
      <c r="L44" s="25"/>
      <c r="M44" s="25"/>
      <c r="N44" s="25"/>
      <c r="O44" s="25"/>
      <c r="P44" s="25"/>
      <c r="Q44" s="25"/>
    </row>
    <row r="45" spans="1:17" x14ac:dyDescent="0.3">
      <c r="B45" s="24"/>
      <c r="C45" s="24"/>
      <c r="D45" s="62"/>
      <c r="E45" s="25"/>
      <c r="F45" s="25"/>
      <c r="G45" s="25"/>
      <c r="H45" s="25"/>
      <c r="I45" s="25"/>
      <c r="J45" s="25"/>
      <c r="K45" s="25"/>
      <c r="L45" s="25"/>
      <c r="M45" s="25"/>
      <c r="N45" s="25"/>
      <c r="O45" s="25"/>
      <c r="P45" s="25"/>
      <c r="Q45" s="25"/>
    </row>
    <row r="46" spans="1:17" x14ac:dyDescent="0.3">
      <c r="B46" s="24"/>
      <c r="C46" s="24"/>
      <c r="D46" s="62"/>
      <c r="E46" s="25"/>
      <c r="F46" s="25"/>
      <c r="G46" s="25"/>
      <c r="H46" s="25"/>
      <c r="I46" s="25"/>
      <c r="J46" s="25"/>
      <c r="K46" s="25"/>
      <c r="L46" s="25"/>
      <c r="M46" s="25"/>
      <c r="N46" s="25"/>
      <c r="O46" s="25"/>
      <c r="P46" s="25"/>
      <c r="Q46" s="25"/>
    </row>
    <row r="47" spans="1:17" x14ac:dyDescent="0.3">
      <c r="B47" s="24"/>
      <c r="C47" s="24"/>
      <c r="D47" s="62"/>
      <c r="E47" s="25"/>
      <c r="F47" s="25"/>
      <c r="G47" s="25"/>
      <c r="H47" s="25"/>
      <c r="I47" s="25"/>
      <c r="J47" s="25"/>
      <c r="K47" s="25"/>
      <c r="L47" s="25"/>
      <c r="M47" s="25"/>
      <c r="N47" s="25"/>
      <c r="O47" s="25"/>
      <c r="P47" s="25"/>
      <c r="Q47" s="25"/>
    </row>
    <row r="48" spans="1: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row r="184" spans="2:17" x14ac:dyDescent="0.3">
      <c r="B184" s="24"/>
      <c r="C184" s="24"/>
      <c r="D184" s="62"/>
      <c r="E184" s="25"/>
      <c r="F184" s="25"/>
      <c r="G184" s="25"/>
      <c r="H184" s="25"/>
      <c r="I184" s="25"/>
      <c r="J184" s="25"/>
      <c r="K184" s="25"/>
      <c r="L184" s="25"/>
      <c r="M184" s="25"/>
      <c r="N184" s="25"/>
      <c r="O184" s="25"/>
      <c r="P184" s="25"/>
      <c r="Q184" s="25"/>
    </row>
    <row r="185" spans="2:17" x14ac:dyDescent="0.3">
      <c r="B185" s="24"/>
      <c r="C185" s="24"/>
      <c r="D185" s="62"/>
      <c r="E185" s="25"/>
      <c r="F185" s="25"/>
      <c r="G185" s="25"/>
      <c r="H185" s="25"/>
      <c r="I185" s="25"/>
      <c r="J185" s="25"/>
      <c r="K185" s="25"/>
      <c r="L185" s="25"/>
      <c r="M185" s="25"/>
      <c r="N185" s="25"/>
      <c r="O185" s="25"/>
      <c r="P185" s="25"/>
      <c r="Q185" s="25"/>
    </row>
    <row r="186" spans="2:17" x14ac:dyDescent="0.3">
      <c r="B186" s="24"/>
      <c r="C186" s="24"/>
      <c r="D186" s="62"/>
      <c r="E186" s="25"/>
      <c r="F186" s="25"/>
      <c r="G186" s="25"/>
      <c r="H186" s="25"/>
      <c r="I186" s="25"/>
      <c r="J186" s="25"/>
      <c r="K186" s="25"/>
      <c r="L186" s="25"/>
      <c r="M186" s="25"/>
      <c r="N186" s="25"/>
      <c r="O186" s="25"/>
      <c r="P186" s="25"/>
      <c r="Q186" s="25"/>
    </row>
    <row r="187" spans="2:17" x14ac:dyDescent="0.3">
      <c r="B187" s="24"/>
      <c r="C187" s="24"/>
      <c r="D187" s="62"/>
      <c r="E187" s="25"/>
      <c r="F187" s="25"/>
      <c r="G187" s="25"/>
      <c r="H187" s="25"/>
      <c r="I187" s="25"/>
      <c r="J187" s="25"/>
      <c r="K187" s="25"/>
      <c r="L187" s="25"/>
      <c r="M187" s="25"/>
      <c r="N187" s="25"/>
      <c r="O187" s="25"/>
      <c r="P187" s="25"/>
      <c r="Q187" s="25"/>
    </row>
    <row r="188" spans="2:17" x14ac:dyDescent="0.3">
      <c r="B188" s="24"/>
      <c r="C188" s="24"/>
      <c r="D188" s="62"/>
      <c r="E188" s="25"/>
      <c r="F188" s="25"/>
      <c r="G188" s="25"/>
      <c r="H188" s="25"/>
      <c r="I188" s="25"/>
      <c r="J188" s="25"/>
      <c r="K188" s="25"/>
      <c r="L188" s="25"/>
      <c r="M188" s="25"/>
      <c r="N188" s="25"/>
      <c r="O188" s="25"/>
      <c r="P188" s="25"/>
      <c r="Q188" s="25"/>
    </row>
    <row r="189" spans="2:17" x14ac:dyDescent="0.3">
      <c r="B189" s="24"/>
      <c r="C189" s="24"/>
      <c r="D189" s="62"/>
      <c r="E189" s="25"/>
      <c r="F189" s="25"/>
      <c r="G189" s="25"/>
      <c r="H189" s="25"/>
      <c r="I189" s="25"/>
      <c r="J189" s="25"/>
      <c r="K189" s="25"/>
      <c r="L189" s="25"/>
      <c r="M189" s="25"/>
      <c r="N189" s="25"/>
      <c r="O189" s="25"/>
      <c r="P189" s="25"/>
      <c r="Q189" s="25"/>
    </row>
    <row r="190" spans="2:17" x14ac:dyDescent="0.3">
      <c r="B190" s="24"/>
      <c r="C190" s="24"/>
      <c r="D190" s="62"/>
      <c r="E190" s="25"/>
      <c r="F190" s="25"/>
      <c r="G190" s="25"/>
      <c r="H190" s="25"/>
      <c r="I190" s="25"/>
      <c r="J190" s="25"/>
      <c r="K190" s="25"/>
      <c r="L190" s="25"/>
      <c r="M190" s="25"/>
      <c r="N190" s="25"/>
      <c r="O190" s="25"/>
      <c r="P190" s="25"/>
      <c r="Q190" s="25"/>
    </row>
    <row r="191" spans="2:17" x14ac:dyDescent="0.3">
      <c r="B191" s="24"/>
      <c r="C191" s="24"/>
      <c r="D191" s="62"/>
      <c r="E191" s="25"/>
      <c r="F191" s="25"/>
      <c r="G191" s="25"/>
      <c r="H191" s="25"/>
      <c r="I191" s="25"/>
      <c r="J191" s="25"/>
      <c r="K191" s="25"/>
      <c r="L191" s="25"/>
      <c r="M191" s="25"/>
      <c r="N191" s="25"/>
      <c r="O191" s="25"/>
      <c r="P191" s="25"/>
      <c r="Q191" s="25"/>
    </row>
    <row r="192" spans="2:17" x14ac:dyDescent="0.3">
      <c r="B192" s="24"/>
      <c r="C192" s="24"/>
      <c r="D192" s="62"/>
      <c r="E192" s="25"/>
      <c r="F192" s="25"/>
      <c r="G192" s="25"/>
      <c r="H192" s="25"/>
      <c r="I192" s="25"/>
      <c r="J192" s="25"/>
      <c r="K192" s="25"/>
      <c r="L192" s="25"/>
      <c r="M192" s="25"/>
      <c r="N192" s="25"/>
      <c r="O192" s="25"/>
      <c r="P192" s="25"/>
      <c r="Q192" s="25"/>
    </row>
    <row r="193" spans="2:17" x14ac:dyDescent="0.3">
      <c r="B193" s="24"/>
      <c r="C193" s="24"/>
      <c r="D193" s="62"/>
      <c r="E193" s="25"/>
      <c r="F193" s="25"/>
      <c r="G193" s="25"/>
      <c r="H193" s="25"/>
      <c r="I193" s="25"/>
      <c r="J193" s="25"/>
      <c r="K193" s="25"/>
      <c r="L193" s="25"/>
      <c r="M193" s="25"/>
      <c r="N193" s="25"/>
      <c r="O193" s="25"/>
      <c r="P193" s="25"/>
      <c r="Q193" s="25"/>
    </row>
    <row r="194" spans="2:17" x14ac:dyDescent="0.3">
      <c r="B194" s="24"/>
      <c r="C194" s="24"/>
      <c r="D194" s="62"/>
      <c r="E194" s="25"/>
      <c r="F194" s="25"/>
      <c r="G194" s="25"/>
      <c r="H194" s="25"/>
      <c r="I194" s="25"/>
      <c r="J194" s="25"/>
      <c r="K194" s="25"/>
      <c r="L194" s="25"/>
      <c r="M194" s="25"/>
      <c r="N194" s="25"/>
      <c r="O194" s="25"/>
      <c r="P194" s="25"/>
      <c r="Q194" s="25"/>
    </row>
    <row r="195" spans="2:17" x14ac:dyDescent="0.3">
      <c r="B195" s="24"/>
      <c r="C195" s="24"/>
      <c r="D195" s="62"/>
      <c r="E195" s="25"/>
      <c r="F195" s="25"/>
      <c r="G195" s="25"/>
      <c r="H195" s="25"/>
      <c r="I195" s="25"/>
      <c r="J195" s="25"/>
      <c r="K195" s="25"/>
      <c r="L195" s="25"/>
      <c r="M195" s="25"/>
      <c r="N195" s="25"/>
      <c r="O195" s="25"/>
      <c r="P195" s="25"/>
      <c r="Q195" s="25"/>
    </row>
    <row r="196" spans="2:17" x14ac:dyDescent="0.3">
      <c r="B196" s="24"/>
      <c r="C196" s="24"/>
      <c r="D196" s="62"/>
      <c r="E196" s="25"/>
      <c r="F196" s="25"/>
      <c r="G196" s="25"/>
      <c r="H196" s="25"/>
      <c r="I196" s="25"/>
      <c r="J196" s="25"/>
      <c r="K196" s="25"/>
      <c r="L196" s="25"/>
      <c r="M196" s="25"/>
      <c r="N196" s="25"/>
      <c r="O196" s="25"/>
      <c r="P196" s="25"/>
      <c r="Q196" s="25"/>
    </row>
    <row r="197" spans="2:17" x14ac:dyDescent="0.3">
      <c r="B197" s="24"/>
      <c r="C197" s="24"/>
      <c r="D197" s="62"/>
      <c r="E197" s="25"/>
      <c r="F197" s="25"/>
      <c r="G197" s="25"/>
      <c r="H197" s="25"/>
      <c r="I197" s="25"/>
      <c r="J197" s="25"/>
      <c r="K197" s="25"/>
      <c r="L197" s="25"/>
      <c r="M197" s="25"/>
      <c r="N197" s="25"/>
      <c r="O197" s="25"/>
      <c r="P197" s="25"/>
      <c r="Q197" s="25"/>
    </row>
    <row r="198" spans="2:17" x14ac:dyDescent="0.3">
      <c r="B198" s="24"/>
      <c r="C198" s="24"/>
      <c r="D198" s="62"/>
      <c r="E198" s="25"/>
      <c r="F198" s="25"/>
      <c r="G198" s="25"/>
      <c r="H198" s="25"/>
      <c r="I198" s="25"/>
      <c r="J198" s="25"/>
      <c r="K198" s="25"/>
      <c r="L198" s="25"/>
      <c r="M198" s="25"/>
      <c r="N198" s="25"/>
      <c r="O198" s="25"/>
      <c r="P198" s="25"/>
      <c r="Q198" s="25"/>
    </row>
    <row r="199" spans="2:17" x14ac:dyDescent="0.3">
      <c r="B199" s="24"/>
      <c r="C199" s="24"/>
      <c r="D199" s="62"/>
      <c r="E199" s="25"/>
      <c r="F199" s="25"/>
      <c r="G199" s="25"/>
      <c r="H199" s="25"/>
      <c r="I199" s="25"/>
      <c r="J199" s="25"/>
      <c r="K199" s="25"/>
      <c r="L199" s="25"/>
      <c r="M199" s="25"/>
      <c r="N199" s="25"/>
      <c r="O199" s="25"/>
      <c r="P199" s="25"/>
      <c r="Q199" s="25"/>
    </row>
    <row r="200" spans="2:17" x14ac:dyDescent="0.3">
      <c r="B200" s="24"/>
      <c r="C200" s="24"/>
      <c r="D200" s="62"/>
      <c r="E200" s="25"/>
      <c r="F200" s="25"/>
      <c r="G200" s="25"/>
      <c r="H200" s="25"/>
      <c r="I200" s="25"/>
      <c r="J200" s="25"/>
      <c r="K200" s="25"/>
      <c r="L200" s="25"/>
      <c r="M200" s="25"/>
      <c r="N200" s="25"/>
      <c r="O200" s="25"/>
      <c r="P200" s="25"/>
      <c r="Q200" s="25"/>
    </row>
    <row r="201" spans="2:17" x14ac:dyDescent="0.3">
      <c r="B201" s="24"/>
      <c r="C201" s="24"/>
      <c r="D201" s="62"/>
      <c r="E201" s="25"/>
      <c r="F201" s="25"/>
      <c r="G201" s="25"/>
      <c r="H201" s="25"/>
      <c r="I201" s="25"/>
      <c r="J201" s="25"/>
      <c r="K201" s="25"/>
      <c r="L201" s="25"/>
      <c r="M201" s="25"/>
      <c r="N201" s="25"/>
      <c r="O201" s="25"/>
      <c r="P201" s="25"/>
      <c r="Q201" s="25"/>
    </row>
    <row r="202" spans="2:17" x14ac:dyDescent="0.3">
      <c r="B202" s="24"/>
      <c r="C202" s="24"/>
      <c r="D202" s="62"/>
      <c r="E202" s="25"/>
      <c r="F202" s="25"/>
      <c r="G202" s="25"/>
      <c r="H202" s="25"/>
      <c r="I202" s="25"/>
      <c r="J202" s="25"/>
      <c r="K202" s="25"/>
      <c r="L202" s="25"/>
      <c r="M202" s="25"/>
      <c r="N202" s="25"/>
      <c r="O202" s="25"/>
      <c r="P202" s="25"/>
      <c r="Q202" s="25"/>
    </row>
    <row r="203" spans="2:17" x14ac:dyDescent="0.3">
      <c r="B203" s="24"/>
      <c r="C203" s="24"/>
      <c r="D203" s="62"/>
      <c r="E203" s="25"/>
      <c r="F203" s="25"/>
      <c r="G203" s="25"/>
      <c r="H203" s="25"/>
      <c r="I203" s="25"/>
      <c r="J203" s="25"/>
      <c r="K203" s="25"/>
      <c r="L203" s="25"/>
      <c r="M203" s="25"/>
      <c r="N203" s="25"/>
      <c r="O203" s="25"/>
      <c r="P203" s="25"/>
      <c r="Q203" s="25"/>
    </row>
    <row r="204" spans="2:17" x14ac:dyDescent="0.3">
      <c r="B204" s="24"/>
      <c r="C204" s="24"/>
      <c r="D204" s="62"/>
      <c r="E204" s="25"/>
      <c r="F204" s="25"/>
      <c r="G204" s="25"/>
      <c r="H204" s="25"/>
      <c r="I204" s="25"/>
      <c r="J204" s="25"/>
      <c r="K204" s="25"/>
      <c r="L204" s="25"/>
      <c r="M204" s="25"/>
      <c r="N204" s="25"/>
      <c r="O204" s="25"/>
      <c r="P204" s="25"/>
      <c r="Q204" s="25"/>
    </row>
    <row r="205" spans="2:17" x14ac:dyDescent="0.3">
      <c r="B205" s="24"/>
      <c r="C205" s="24"/>
      <c r="D205" s="62"/>
      <c r="E205" s="25"/>
      <c r="F205" s="25"/>
      <c r="G205" s="25"/>
      <c r="H205" s="25"/>
      <c r="I205" s="25"/>
      <c r="J205" s="25"/>
      <c r="K205" s="25"/>
      <c r="L205" s="25"/>
      <c r="M205" s="25"/>
      <c r="N205" s="25"/>
      <c r="O205" s="25"/>
      <c r="P205" s="25"/>
      <c r="Q205" s="25"/>
    </row>
    <row r="206" spans="2:17" x14ac:dyDescent="0.3">
      <c r="B206" s="24"/>
      <c r="C206" s="24"/>
      <c r="D206" s="62"/>
      <c r="E206" s="25"/>
      <c r="F206" s="25"/>
      <c r="G206" s="25"/>
      <c r="H206" s="25"/>
      <c r="I206" s="25"/>
      <c r="J206" s="25"/>
      <c r="K206" s="25"/>
      <c r="L206" s="25"/>
      <c r="M206" s="25"/>
      <c r="N206" s="25"/>
      <c r="O206" s="25"/>
      <c r="P206" s="25"/>
      <c r="Q206" s="25"/>
    </row>
    <row r="207" spans="2:17" x14ac:dyDescent="0.3">
      <c r="B207" s="24"/>
      <c r="C207" s="24"/>
      <c r="D207" s="62"/>
      <c r="E207" s="25"/>
      <c r="F207" s="25"/>
      <c r="G207" s="25"/>
      <c r="H207" s="25"/>
      <c r="I207" s="25"/>
      <c r="J207" s="25"/>
      <c r="K207" s="25"/>
      <c r="L207" s="25"/>
      <c r="M207" s="25"/>
      <c r="N207" s="25"/>
      <c r="O207" s="25"/>
      <c r="P207" s="25"/>
      <c r="Q207" s="25"/>
    </row>
    <row r="208" spans="2:17" x14ac:dyDescent="0.3">
      <c r="B208" s="24"/>
      <c r="C208" s="24"/>
      <c r="D208" s="62"/>
      <c r="E208" s="25"/>
      <c r="F208" s="25"/>
      <c r="G208" s="25"/>
      <c r="H208" s="25"/>
      <c r="I208" s="25"/>
      <c r="J208" s="25"/>
      <c r="K208" s="25"/>
      <c r="L208" s="25"/>
      <c r="M208" s="25"/>
      <c r="N208" s="25"/>
      <c r="O208" s="25"/>
      <c r="P208" s="25"/>
      <c r="Q208" s="25"/>
    </row>
    <row r="209" spans="2:17" x14ac:dyDescent="0.3">
      <c r="B209" s="24"/>
      <c r="C209" s="24"/>
      <c r="D209" s="62"/>
      <c r="E209" s="25"/>
      <c r="F209" s="25"/>
      <c r="G209" s="25"/>
      <c r="H209" s="25"/>
      <c r="I209" s="25"/>
      <c r="J209" s="25"/>
      <c r="K209" s="25"/>
      <c r="L209" s="25"/>
      <c r="M209" s="25"/>
      <c r="N209" s="25"/>
      <c r="O209" s="25"/>
      <c r="P209" s="25"/>
      <c r="Q209" s="25"/>
    </row>
    <row r="210" spans="2:17" x14ac:dyDescent="0.3">
      <c r="B210" s="24"/>
      <c r="C210" s="24"/>
      <c r="D210" s="62"/>
      <c r="E210" s="25"/>
      <c r="F210" s="25"/>
      <c r="G210" s="25"/>
      <c r="H210" s="25"/>
      <c r="I210" s="25"/>
      <c r="J210" s="25"/>
      <c r="K210" s="25"/>
      <c r="L210" s="25"/>
      <c r="M210" s="25"/>
      <c r="N210" s="25"/>
      <c r="O210" s="25"/>
      <c r="P210" s="25"/>
      <c r="Q210" s="25"/>
    </row>
    <row r="211" spans="2:17" x14ac:dyDescent="0.3">
      <c r="B211" s="24"/>
      <c r="C211" s="24"/>
      <c r="D211" s="62"/>
      <c r="E211" s="25"/>
      <c r="F211" s="25"/>
      <c r="G211" s="25"/>
      <c r="H211" s="25"/>
      <c r="I211" s="25"/>
      <c r="J211" s="25"/>
      <c r="K211" s="25"/>
      <c r="L211" s="25"/>
      <c r="M211" s="25"/>
      <c r="N211" s="25"/>
      <c r="O211" s="25"/>
      <c r="P211" s="25"/>
      <c r="Q211" s="25"/>
    </row>
    <row r="212" spans="2:17" x14ac:dyDescent="0.3">
      <c r="B212" s="24"/>
      <c r="C212" s="24"/>
      <c r="D212" s="62"/>
      <c r="E212" s="25"/>
      <c r="F212" s="25"/>
      <c r="G212" s="25"/>
      <c r="H212" s="25"/>
      <c r="I212" s="25"/>
      <c r="J212" s="25"/>
      <c r="K212" s="25"/>
      <c r="L212" s="25"/>
      <c r="M212" s="25"/>
      <c r="N212" s="25"/>
      <c r="O212" s="25"/>
      <c r="P212" s="25"/>
      <c r="Q212" s="25"/>
    </row>
    <row r="213" spans="2:17" x14ac:dyDescent="0.3">
      <c r="B213" s="24"/>
      <c r="C213" s="24"/>
      <c r="D213" s="62"/>
      <c r="E213" s="25"/>
      <c r="F213" s="25"/>
      <c r="G213" s="25"/>
      <c r="H213" s="25"/>
      <c r="I213" s="25"/>
      <c r="J213" s="25"/>
      <c r="K213" s="25"/>
      <c r="L213" s="25"/>
      <c r="M213" s="25"/>
      <c r="N213" s="25"/>
      <c r="O213" s="25"/>
      <c r="P213" s="25"/>
      <c r="Q213" s="25"/>
    </row>
    <row r="214" spans="2:17" x14ac:dyDescent="0.3">
      <c r="B214" s="24"/>
      <c r="C214" s="24"/>
      <c r="D214" s="62"/>
      <c r="E214" s="25"/>
      <c r="F214" s="25"/>
      <c r="G214" s="25"/>
      <c r="H214" s="25"/>
      <c r="I214" s="25"/>
      <c r="J214" s="25"/>
      <c r="K214" s="25"/>
      <c r="L214" s="25"/>
      <c r="M214" s="25"/>
      <c r="N214" s="25"/>
      <c r="O214" s="25"/>
      <c r="P214" s="25"/>
      <c r="Q214" s="25"/>
    </row>
    <row r="215" spans="2:17" x14ac:dyDescent="0.3">
      <c r="B215" s="24"/>
      <c r="C215" s="24"/>
      <c r="D215" s="62"/>
      <c r="E215" s="25"/>
      <c r="F215" s="25"/>
      <c r="G215" s="25"/>
      <c r="H215" s="25"/>
      <c r="I215" s="25"/>
      <c r="J215" s="25"/>
      <c r="K215" s="25"/>
      <c r="L215" s="25"/>
      <c r="M215" s="25"/>
      <c r="N215" s="25"/>
      <c r="O215" s="25"/>
      <c r="P215" s="25"/>
      <c r="Q215" s="25"/>
    </row>
    <row r="216" spans="2:17" x14ac:dyDescent="0.3">
      <c r="B216" s="24"/>
      <c r="C216" s="24"/>
      <c r="D216" s="62"/>
      <c r="E216" s="25"/>
      <c r="F216" s="25"/>
      <c r="G216" s="25"/>
      <c r="H216" s="25"/>
      <c r="I216" s="25"/>
      <c r="J216" s="25"/>
      <c r="K216" s="25"/>
      <c r="L216" s="25"/>
      <c r="M216" s="25"/>
      <c r="N216" s="25"/>
      <c r="O216" s="25"/>
      <c r="P216" s="25"/>
      <c r="Q216" s="25"/>
    </row>
    <row r="217" spans="2:17" x14ac:dyDescent="0.3">
      <c r="B217" s="24"/>
      <c r="C217" s="24"/>
      <c r="D217" s="62"/>
      <c r="E217" s="25"/>
      <c r="F217" s="25"/>
      <c r="G217" s="25"/>
      <c r="H217" s="25"/>
      <c r="I217" s="25"/>
      <c r="J217" s="25"/>
      <c r="K217" s="25"/>
      <c r="L217" s="25"/>
      <c r="M217" s="25"/>
      <c r="N217" s="25"/>
      <c r="O217" s="25"/>
      <c r="P217" s="25"/>
      <c r="Q217" s="25"/>
    </row>
    <row r="218" spans="2:17" x14ac:dyDescent="0.3">
      <c r="B218" s="24"/>
      <c r="C218" s="24"/>
      <c r="D218" s="62"/>
      <c r="E218" s="25"/>
      <c r="F218" s="25"/>
      <c r="G218" s="25"/>
      <c r="H218" s="25"/>
      <c r="I218" s="25"/>
      <c r="J218" s="25"/>
      <c r="K218" s="25"/>
      <c r="L218" s="25"/>
      <c r="M218" s="25"/>
      <c r="N218" s="25"/>
      <c r="O218" s="25"/>
      <c r="P218" s="25"/>
      <c r="Q218" s="25"/>
    </row>
    <row r="219" spans="2:17" x14ac:dyDescent="0.3">
      <c r="B219" s="24"/>
      <c r="C219" s="24"/>
      <c r="D219" s="62"/>
      <c r="E219" s="25"/>
      <c r="F219" s="25"/>
      <c r="G219" s="25"/>
      <c r="H219" s="25"/>
      <c r="I219" s="25"/>
      <c r="J219" s="25"/>
      <c r="K219" s="25"/>
      <c r="L219" s="25"/>
      <c r="M219" s="25"/>
      <c r="N219" s="25"/>
      <c r="O219" s="25"/>
      <c r="P219" s="25"/>
      <c r="Q219" s="25"/>
    </row>
    <row r="220" spans="2:17" x14ac:dyDescent="0.3">
      <c r="B220" s="24"/>
      <c r="C220" s="24"/>
      <c r="D220" s="62"/>
      <c r="E220" s="25"/>
      <c r="F220" s="25"/>
      <c r="G220" s="25"/>
      <c r="H220" s="25"/>
      <c r="I220" s="25"/>
      <c r="J220" s="25"/>
      <c r="K220" s="25"/>
      <c r="L220" s="25"/>
      <c r="M220" s="25"/>
      <c r="N220" s="25"/>
      <c r="O220" s="25"/>
      <c r="P220" s="25"/>
      <c r="Q220" s="25"/>
    </row>
    <row r="221" spans="2:17" x14ac:dyDescent="0.3">
      <c r="B221" s="24"/>
      <c r="C221" s="24"/>
      <c r="D221" s="62"/>
      <c r="E221" s="25"/>
      <c r="F221" s="25"/>
      <c r="G221" s="25"/>
      <c r="H221" s="25"/>
      <c r="I221" s="25"/>
      <c r="J221" s="25"/>
      <c r="K221" s="25"/>
      <c r="L221" s="25"/>
      <c r="M221" s="25"/>
      <c r="N221" s="25"/>
      <c r="O221" s="25"/>
      <c r="P221" s="25"/>
      <c r="Q221" s="25"/>
    </row>
    <row r="222" spans="2:17" x14ac:dyDescent="0.3">
      <c r="B222" s="24"/>
      <c r="C222" s="24"/>
      <c r="D222" s="62"/>
      <c r="E222" s="25"/>
      <c r="F222" s="25"/>
      <c r="G222" s="25"/>
      <c r="H222" s="25"/>
      <c r="I222" s="25"/>
      <c r="J222" s="25"/>
      <c r="K222" s="25"/>
      <c r="L222" s="25"/>
      <c r="M222" s="25"/>
      <c r="N222" s="25"/>
      <c r="O222" s="25"/>
      <c r="P222" s="25"/>
      <c r="Q222" s="25"/>
    </row>
    <row r="223" spans="2:17" x14ac:dyDescent="0.3">
      <c r="B223" s="24"/>
      <c r="C223" s="24"/>
      <c r="D223" s="62"/>
      <c r="E223" s="25"/>
      <c r="F223" s="25"/>
      <c r="G223" s="25"/>
      <c r="H223" s="25"/>
      <c r="I223" s="25"/>
      <c r="J223" s="25"/>
      <c r="K223" s="25"/>
      <c r="L223" s="25"/>
      <c r="M223" s="25"/>
      <c r="N223" s="25"/>
      <c r="O223" s="25"/>
      <c r="P223" s="25"/>
      <c r="Q223" s="25"/>
    </row>
    <row r="224" spans="2:17" x14ac:dyDescent="0.3">
      <c r="B224" s="24"/>
      <c r="C224" s="24"/>
      <c r="D224" s="62"/>
      <c r="E224" s="25"/>
      <c r="F224" s="25"/>
      <c r="G224" s="25"/>
      <c r="H224" s="25"/>
      <c r="I224" s="25"/>
      <c r="J224" s="25"/>
      <c r="K224" s="25"/>
      <c r="L224" s="25"/>
      <c r="M224" s="25"/>
      <c r="N224" s="25"/>
      <c r="O224" s="25"/>
      <c r="P224" s="25"/>
      <c r="Q224" s="25"/>
    </row>
    <row r="225" spans="2:17" x14ac:dyDescent="0.3">
      <c r="B225" s="24"/>
      <c r="C225" s="24"/>
      <c r="D225" s="62"/>
      <c r="E225" s="25"/>
      <c r="F225" s="25"/>
      <c r="G225" s="25"/>
      <c r="H225" s="25"/>
      <c r="I225" s="25"/>
      <c r="J225" s="25"/>
      <c r="K225" s="25"/>
      <c r="L225" s="25"/>
      <c r="M225" s="25"/>
      <c r="N225" s="25"/>
      <c r="O225" s="25"/>
      <c r="P225" s="25"/>
      <c r="Q225" s="25"/>
    </row>
    <row r="226" spans="2:17" x14ac:dyDescent="0.3">
      <c r="B226" s="24"/>
      <c r="C226" s="24"/>
      <c r="D226" s="62"/>
      <c r="E226" s="25"/>
      <c r="F226" s="25"/>
      <c r="G226" s="25"/>
      <c r="H226" s="25"/>
      <c r="I226" s="25"/>
      <c r="J226" s="25"/>
      <c r="K226" s="25"/>
      <c r="L226" s="25"/>
      <c r="M226" s="25"/>
      <c r="N226" s="25"/>
      <c r="O226" s="25"/>
      <c r="P226" s="25"/>
      <c r="Q226" s="25"/>
    </row>
    <row r="227" spans="2:17" x14ac:dyDescent="0.3">
      <c r="B227" s="24"/>
      <c r="C227" s="24"/>
      <c r="D227" s="62"/>
      <c r="E227" s="25"/>
      <c r="F227" s="25"/>
      <c r="G227" s="25"/>
      <c r="H227" s="25"/>
      <c r="I227" s="25"/>
      <c r="J227" s="25"/>
      <c r="K227" s="25"/>
      <c r="L227" s="25"/>
      <c r="M227" s="25"/>
      <c r="N227" s="25"/>
      <c r="O227" s="25"/>
      <c r="P227" s="25"/>
      <c r="Q227" s="25"/>
    </row>
    <row r="228" spans="2:17" x14ac:dyDescent="0.3">
      <c r="B228" s="24"/>
      <c r="C228" s="24"/>
      <c r="D228" s="62"/>
      <c r="E228" s="25"/>
      <c r="F228" s="25"/>
      <c r="G228" s="25"/>
      <c r="H228" s="25"/>
      <c r="I228" s="25"/>
      <c r="J228" s="25"/>
      <c r="K228" s="25"/>
      <c r="L228" s="25"/>
      <c r="M228" s="25"/>
      <c r="N228" s="25"/>
      <c r="O228" s="25"/>
      <c r="P228" s="25"/>
      <c r="Q228" s="25"/>
    </row>
    <row r="229" spans="2:17" x14ac:dyDescent="0.3">
      <c r="B229" s="24"/>
      <c r="C229" s="24"/>
      <c r="D229" s="62"/>
      <c r="E229" s="25"/>
      <c r="F229" s="25"/>
      <c r="G229" s="25"/>
      <c r="H229" s="25"/>
      <c r="I229" s="25"/>
      <c r="J229" s="25"/>
      <c r="K229" s="25"/>
      <c r="L229" s="25"/>
      <c r="M229" s="25"/>
      <c r="N229" s="25"/>
      <c r="O229" s="25"/>
      <c r="P229" s="25"/>
      <c r="Q229" s="25"/>
    </row>
    <row r="230" spans="2:17" x14ac:dyDescent="0.3">
      <c r="B230" s="24"/>
      <c r="C230" s="24"/>
      <c r="D230" s="62"/>
      <c r="E230" s="25"/>
      <c r="F230" s="25"/>
      <c r="G230" s="25"/>
      <c r="H230" s="25"/>
      <c r="I230" s="25"/>
      <c r="J230" s="25"/>
      <c r="K230" s="25"/>
      <c r="L230" s="25"/>
      <c r="M230" s="25"/>
      <c r="N230" s="25"/>
      <c r="O230" s="25"/>
      <c r="P230" s="25"/>
      <c r="Q230" s="25"/>
    </row>
    <row r="231" spans="2:17" x14ac:dyDescent="0.3">
      <c r="B231" s="24"/>
      <c r="C231" s="24"/>
      <c r="D231" s="62"/>
      <c r="E231" s="25"/>
      <c r="F231" s="25"/>
      <c r="G231" s="25"/>
      <c r="H231" s="25"/>
      <c r="I231" s="25"/>
      <c r="J231" s="25"/>
      <c r="K231" s="25"/>
      <c r="L231" s="25"/>
      <c r="M231" s="25"/>
      <c r="N231" s="25"/>
      <c r="O231" s="25"/>
      <c r="P231" s="25"/>
      <c r="Q231" s="25"/>
    </row>
    <row r="232" spans="2:17" x14ac:dyDescent="0.3">
      <c r="B232" s="24"/>
      <c r="C232" s="24"/>
      <c r="D232" s="62"/>
      <c r="E232" s="25"/>
      <c r="F232" s="25"/>
      <c r="G232" s="25"/>
      <c r="H232" s="25"/>
      <c r="I232" s="25"/>
      <c r="J232" s="25"/>
      <c r="K232" s="25"/>
      <c r="L232" s="25"/>
      <c r="M232" s="25"/>
      <c r="N232" s="25"/>
      <c r="O232" s="25"/>
      <c r="P232" s="25"/>
      <c r="Q232" s="25"/>
    </row>
    <row r="233" spans="2:17" x14ac:dyDescent="0.3">
      <c r="B233" s="24"/>
      <c r="C233" s="24"/>
      <c r="D233" s="62"/>
      <c r="E233" s="25"/>
      <c r="F233" s="25"/>
      <c r="G233" s="25"/>
      <c r="H233" s="25"/>
      <c r="I233" s="25"/>
      <c r="J233" s="25"/>
      <c r="K233" s="25"/>
      <c r="L233" s="25"/>
      <c r="M233" s="25"/>
      <c r="N233" s="25"/>
      <c r="O233" s="25"/>
      <c r="P233" s="25"/>
      <c r="Q233" s="25"/>
    </row>
    <row r="234" spans="2:17" x14ac:dyDescent="0.3">
      <c r="B234" s="24"/>
      <c r="C234" s="24"/>
      <c r="D234" s="62"/>
      <c r="E234" s="25"/>
      <c r="F234" s="25"/>
      <c r="G234" s="25"/>
      <c r="H234" s="25"/>
      <c r="I234" s="25"/>
      <c r="J234" s="25"/>
      <c r="K234" s="25"/>
      <c r="L234" s="25"/>
      <c r="M234" s="25"/>
      <c r="N234" s="25"/>
      <c r="O234" s="25"/>
      <c r="P234" s="25"/>
      <c r="Q234" s="25"/>
    </row>
    <row r="235" spans="2:17" x14ac:dyDescent="0.3">
      <c r="B235" s="24"/>
      <c r="C235" s="24"/>
      <c r="D235" s="62"/>
      <c r="E235" s="25"/>
      <c r="F235" s="25"/>
      <c r="G235" s="25"/>
      <c r="H235" s="25"/>
      <c r="I235" s="25"/>
      <c r="J235" s="25"/>
      <c r="K235" s="25"/>
      <c r="L235" s="25"/>
      <c r="M235" s="25"/>
      <c r="N235" s="25"/>
      <c r="O235" s="25"/>
      <c r="P235" s="25"/>
      <c r="Q235" s="25"/>
    </row>
    <row r="236" spans="2:17" x14ac:dyDescent="0.3">
      <c r="B236" s="24"/>
      <c r="C236" s="24"/>
      <c r="D236" s="62"/>
      <c r="E236" s="25"/>
      <c r="F236" s="25"/>
      <c r="G236" s="25"/>
      <c r="H236" s="25"/>
      <c r="I236" s="25"/>
      <c r="J236" s="25"/>
      <c r="K236" s="25"/>
      <c r="L236" s="25"/>
      <c r="M236" s="25"/>
      <c r="N236" s="25"/>
      <c r="O236" s="25"/>
      <c r="P236" s="25"/>
      <c r="Q236" s="25"/>
    </row>
    <row r="237" spans="2:17" x14ac:dyDescent="0.3">
      <c r="B237" s="24"/>
      <c r="C237" s="24"/>
      <c r="D237" s="62"/>
      <c r="E237" s="25"/>
      <c r="F237" s="25"/>
      <c r="G237" s="25"/>
      <c r="H237" s="25"/>
      <c r="I237" s="25"/>
      <c r="J237" s="25"/>
      <c r="K237" s="25"/>
      <c r="L237" s="25"/>
      <c r="M237" s="25"/>
      <c r="N237" s="25"/>
      <c r="O237" s="25"/>
      <c r="P237" s="25"/>
      <c r="Q237" s="25"/>
    </row>
    <row r="238" spans="2:17" x14ac:dyDescent="0.3">
      <c r="B238" s="24"/>
      <c r="C238" s="24"/>
      <c r="D238" s="62"/>
      <c r="E238" s="25"/>
      <c r="F238" s="25"/>
      <c r="G238" s="25"/>
      <c r="H238" s="25"/>
      <c r="I238" s="25"/>
      <c r="J238" s="25"/>
      <c r="K238" s="25"/>
      <c r="L238" s="25"/>
      <c r="M238" s="25"/>
      <c r="N238" s="25"/>
      <c r="O238" s="25"/>
      <c r="P238" s="25"/>
      <c r="Q238" s="25"/>
    </row>
    <row r="239" spans="2:17" x14ac:dyDescent="0.3">
      <c r="B239" s="24"/>
      <c r="C239" s="24"/>
      <c r="D239" s="62"/>
      <c r="E239" s="25"/>
      <c r="F239" s="25"/>
      <c r="G239" s="25"/>
      <c r="H239" s="25"/>
      <c r="I239" s="25"/>
      <c r="J239" s="25"/>
      <c r="K239" s="25"/>
      <c r="L239" s="25"/>
      <c r="M239" s="25"/>
      <c r="N239" s="25"/>
      <c r="O239" s="25"/>
      <c r="P239" s="25"/>
      <c r="Q239" s="25"/>
    </row>
    <row r="240" spans="2:17" x14ac:dyDescent="0.3">
      <c r="B240" s="24"/>
      <c r="C240" s="24"/>
      <c r="D240" s="62"/>
      <c r="E240" s="25"/>
      <c r="F240" s="25"/>
      <c r="G240" s="25"/>
      <c r="H240" s="25"/>
      <c r="I240" s="25"/>
      <c r="J240" s="25"/>
      <c r="K240" s="25"/>
      <c r="L240" s="25"/>
      <c r="M240" s="25"/>
      <c r="N240" s="25"/>
      <c r="O240" s="25"/>
      <c r="P240" s="25"/>
      <c r="Q240" s="25"/>
    </row>
    <row r="241" spans="2:17" x14ac:dyDescent="0.3">
      <c r="B241" s="24"/>
      <c r="C241" s="24"/>
      <c r="D241" s="62"/>
      <c r="E241" s="25"/>
      <c r="F241" s="25"/>
      <c r="G241" s="25"/>
      <c r="H241" s="25"/>
      <c r="I241" s="25"/>
      <c r="J241" s="25"/>
      <c r="K241" s="25"/>
      <c r="L241" s="25"/>
      <c r="M241" s="25"/>
      <c r="N241" s="25"/>
      <c r="O241" s="25"/>
      <c r="P241" s="25"/>
      <c r="Q241" s="25"/>
    </row>
    <row r="242" spans="2:17" x14ac:dyDescent="0.3">
      <c r="B242" s="24"/>
      <c r="C242" s="24"/>
      <c r="D242" s="62"/>
      <c r="E242" s="25"/>
      <c r="F242" s="25"/>
      <c r="G242" s="25"/>
      <c r="H242" s="25"/>
      <c r="I242" s="25"/>
      <c r="J242" s="25"/>
      <c r="K242" s="25"/>
      <c r="L242" s="25"/>
      <c r="M242" s="25"/>
      <c r="N242" s="25"/>
      <c r="O242" s="25"/>
      <c r="P242" s="25"/>
      <c r="Q242" s="25"/>
    </row>
    <row r="243" spans="2:17" x14ac:dyDescent="0.3">
      <c r="B243" s="24"/>
      <c r="C243" s="24"/>
      <c r="D243" s="62"/>
      <c r="E243" s="25"/>
      <c r="F243" s="25"/>
      <c r="G243" s="25"/>
      <c r="H243" s="25"/>
      <c r="I243" s="25"/>
      <c r="J243" s="25"/>
      <c r="K243" s="25"/>
      <c r="L243" s="25"/>
      <c r="M243" s="25"/>
      <c r="N243" s="25"/>
      <c r="O243" s="25"/>
      <c r="P243" s="25"/>
      <c r="Q243" s="25"/>
    </row>
    <row r="244" spans="2:17" x14ac:dyDescent="0.3">
      <c r="B244" s="24"/>
      <c r="C244" s="24"/>
      <c r="D244" s="62"/>
      <c r="E244" s="25"/>
      <c r="F244" s="25"/>
      <c r="G244" s="25"/>
      <c r="H244" s="25"/>
      <c r="I244" s="25"/>
      <c r="J244" s="25"/>
      <c r="K244" s="25"/>
      <c r="L244" s="25"/>
      <c r="M244" s="25"/>
      <c r="N244" s="25"/>
      <c r="O244" s="25"/>
      <c r="P244" s="25"/>
      <c r="Q244" s="25"/>
    </row>
    <row r="245" spans="2:17" x14ac:dyDescent="0.3">
      <c r="B245" s="24"/>
      <c r="C245" s="24"/>
      <c r="D245" s="62"/>
      <c r="E245" s="25"/>
      <c r="F245" s="25"/>
      <c r="G245" s="25"/>
      <c r="H245" s="25"/>
      <c r="I245" s="25"/>
      <c r="J245" s="25"/>
      <c r="K245" s="25"/>
      <c r="L245" s="25"/>
      <c r="M245" s="25"/>
      <c r="N245" s="25"/>
      <c r="O245" s="25"/>
      <c r="P245" s="25"/>
      <c r="Q245"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indexed="52"/>
    <outlinePr applyStyles="1" summaryBelow="0"/>
    <pageSetUpPr fitToPage="1"/>
  </sheetPr>
  <dimension ref="A2:S243"/>
  <sheetViews>
    <sheetView topLeftCell="A10" workbookViewId="0">
      <selection activeCell="E22" sqref="E22:G22"/>
    </sheetView>
  </sheetViews>
  <sheetFormatPr defaultColWidth="9.1796875" defaultRowHeight="13" outlineLevelRow="2" x14ac:dyDescent="0.3"/>
  <cols>
    <col min="1" max="1" width="66" style="21" bestFit="1" customWidth="1"/>
    <col min="2" max="2" width="19" style="22" customWidth="1"/>
    <col min="3" max="3" width="19.453125" style="22" customWidth="1"/>
    <col min="4" max="4" width="9.81640625" style="71" customWidth="1"/>
    <col min="5" max="5" width="18.453125" style="22" customWidth="1"/>
    <col min="6" max="6" width="17.7265625" style="22" customWidth="1"/>
    <col min="7" max="7" width="9.1796875" style="71" customWidth="1"/>
    <col min="8" max="8" width="16" style="22" bestFit="1" customWidth="1"/>
    <col min="9" max="9" width="9.1796875" style="21" customWidth="1"/>
    <col min="10" max="16384" width="9.1796875" style="21"/>
  </cols>
  <sheetData>
    <row r="2" spans="1:19" ht="18.5" x14ac:dyDescent="0.45">
      <c r="A2" s="278" t="str">
        <f>DEBT_CURR_STRUCT</f>
        <v>Валютна структура боргу на кінець попереднього року та на звітну дату</v>
      </c>
      <c r="B2" s="280"/>
      <c r="C2" s="280"/>
      <c r="D2" s="280"/>
      <c r="E2" s="280"/>
      <c r="F2" s="280"/>
      <c r="G2" s="280"/>
      <c r="H2" s="280"/>
      <c r="I2" s="25"/>
      <c r="J2" s="25"/>
      <c r="K2" s="25"/>
      <c r="L2" s="25"/>
      <c r="M2" s="25"/>
      <c r="N2" s="25"/>
      <c r="O2" s="25"/>
      <c r="P2" s="25"/>
      <c r="Q2" s="25"/>
      <c r="R2" s="25"/>
      <c r="S2" s="25"/>
    </row>
    <row r="3" spans="1:19" x14ac:dyDescent="0.3">
      <c r="A3" s="23"/>
    </row>
    <row r="4" spans="1:19" x14ac:dyDescent="0.3">
      <c r="B4" s="24"/>
      <c r="C4" s="24"/>
      <c r="D4" s="62"/>
      <c r="E4" s="24"/>
      <c r="F4" s="24"/>
      <c r="G4" s="62"/>
      <c r="H4" s="24"/>
      <c r="I4" s="25"/>
      <c r="J4" s="25"/>
      <c r="K4" s="25"/>
      <c r="L4" s="25"/>
      <c r="M4" s="25"/>
      <c r="N4" s="25"/>
      <c r="O4" s="25"/>
      <c r="P4" s="25"/>
      <c r="Q4" s="25"/>
    </row>
    <row r="5" spans="1:19" s="26" customFormat="1" x14ac:dyDescent="0.3">
      <c r="B5" s="27"/>
      <c r="C5" s="27"/>
      <c r="D5" s="66"/>
      <c r="E5" s="27"/>
      <c r="F5" s="27"/>
      <c r="G5" s="66"/>
      <c r="H5" s="26" t="str">
        <f>VALVAL</f>
        <v>млрд. одиниць</v>
      </c>
    </row>
    <row r="6" spans="1:19" s="52" customFormat="1" x14ac:dyDescent="0.25">
      <c r="A6" s="77"/>
      <c r="B6" s="283">
        <v>45291</v>
      </c>
      <c r="C6" s="284"/>
      <c r="D6" s="285"/>
      <c r="E6" s="283">
        <v>45657</v>
      </c>
      <c r="F6" s="284"/>
      <c r="G6" s="285"/>
      <c r="H6" s="78"/>
    </row>
    <row r="7" spans="1:19" s="79" customFormat="1" x14ac:dyDescent="0.25">
      <c r="A7" s="11"/>
      <c r="B7" s="67" t="str">
        <f>USD</f>
        <v>дол.США</v>
      </c>
      <c r="C7" s="67" t="str">
        <f>UAH</f>
        <v>грн.</v>
      </c>
      <c r="D7" s="68" t="s">
        <v>0</v>
      </c>
      <c r="E7" s="67" t="str">
        <f>USD</f>
        <v>дол.США</v>
      </c>
      <c r="F7" s="67" t="str">
        <f>UAH</f>
        <v>грн.</v>
      </c>
      <c r="G7" s="68" t="s">
        <v>0</v>
      </c>
      <c r="H7" s="67" t="str">
        <f>CHANGE_OF_STRUCTURE</f>
        <v>Зміна структури</v>
      </c>
    </row>
    <row r="8" spans="1:19" s="14" customFormat="1" ht="15.5" x14ac:dyDescent="0.25">
      <c r="A8" s="143" t="str">
        <f>DEBT_TOTAL</f>
        <v>Загальна сума державного та гарантованого державою боргу</v>
      </c>
      <c r="B8" s="83">
        <f>SUM(B9:B18)</f>
        <v>145.32087120896</v>
      </c>
      <c r="C8" s="83">
        <f t="shared" ref="C8:H8" si="0">SUM(C9:C18)</f>
        <v>5519.6354586101506</v>
      </c>
      <c r="D8" s="84">
        <f t="shared" si="0"/>
        <v>1.0000000000000002</v>
      </c>
      <c r="E8" s="83">
        <f t="shared" si="0"/>
        <v>166.05851744312002</v>
      </c>
      <c r="F8" s="83">
        <f t="shared" si="0"/>
        <v>6980.93401478539</v>
      </c>
      <c r="G8" s="84">
        <f t="shared" si="0"/>
        <v>1</v>
      </c>
      <c r="H8" s="87">
        <f t="shared" si="0"/>
        <v>4.5536491244391186E-18</v>
      </c>
    </row>
    <row r="9" spans="1:19" s="37" customFormat="1" outlineLevel="1" x14ac:dyDescent="0.25">
      <c r="A9" s="159" t="s">
        <v>201</v>
      </c>
      <c r="B9" s="165">
        <v>2.3454162970000001E-2</v>
      </c>
      <c r="C9" s="165">
        <v>0.89084539944999996</v>
      </c>
      <c r="D9" s="229">
        <v>1.6100000000000001E-4</v>
      </c>
      <c r="E9" s="165">
        <v>0.19013951203000001</v>
      </c>
      <c r="F9" s="165">
        <v>7.9932749460499997</v>
      </c>
      <c r="G9" s="229">
        <v>1.145E-3</v>
      </c>
      <c r="H9" s="165">
        <v>9.8400000000000007E-4</v>
      </c>
    </row>
    <row r="10" spans="1:19" outlineLevel="1" x14ac:dyDescent="0.3">
      <c r="A10" s="240" t="s">
        <v>202</v>
      </c>
      <c r="B10" s="175">
        <v>38.084592958569999</v>
      </c>
      <c r="C10" s="175">
        <v>1446.54424358959</v>
      </c>
      <c r="D10" s="197">
        <v>0.26207200000000003</v>
      </c>
      <c r="E10" s="175">
        <v>44.523593051120002</v>
      </c>
      <c r="F10" s="175">
        <v>1871.72732827603</v>
      </c>
      <c r="G10" s="197">
        <v>0.26812000000000002</v>
      </c>
      <c r="H10" s="175">
        <v>6.0470000000000003E-3</v>
      </c>
      <c r="I10" s="25"/>
      <c r="J10" s="25"/>
      <c r="K10" s="25"/>
      <c r="L10" s="25"/>
      <c r="M10" s="25"/>
      <c r="N10" s="25"/>
      <c r="O10" s="25"/>
      <c r="P10" s="25"/>
      <c r="Q10" s="25"/>
    </row>
    <row r="11" spans="1:19" outlineLevel="1" x14ac:dyDescent="0.3">
      <c r="A11" s="240" t="s">
        <v>203</v>
      </c>
      <c r="B11" s="175">
        <v>46.962892303529998</v>
      </c>
      <c r="C11" s="175">
        <v>1783.7633606320001</v>
      </c>
      <c r="D11" s="197">
        <v>0.32316699999999998</v>
      </c>
      <c r="E11" s="175">
        <v>54.822423933229999</v>
      </c>
      <c r="F11" s="175">
        <v>2304.6798797312599</v>
      </c>
      <c r="G11" s="197">
        <v>0.33013900000000002</v>
      </c>
      <c r="H11" s="175">
        <v>6.9719999999999999E-3</v>
      </c>
      <c r="I11" s="25"/>
      <c r="J11" s="25"/>
      <c r="K11" s="25"/>
      <c r="L11" s="25"/>
      <c r="M11" s="25"/>
      <c r="N11" s="25"/>
      <c r="O11" s="25"/>
      <c r="P11" s="25"/>
      <c r="Q11" s="25"/>
    </row>
    <row r="12" spans="1:19" outlineLevel="1" x14ac:dyDescent="0.3">
      <c r="A12" s="240" t="s">
        <v>204</v>
      </c>
      <c r="B12" s="175">
        <v>3.28923053835</v>
      </c>
      <c r="C12" s="175">
        <v>124.93286999999999</v>
      </c>
      <c r="D12" s="197">
        <v>2.2634000000000001E-2</v>
      </c>
      <c r="E12" s="175">
        <v>4.6918914579299997</v>
      </c>
      <c r="F12" s="175">
        <v>197.242425</v>
      </c>
      <c r="G12" s="197">
        <v>2.8254000000000001E-2</v>
      </c>
      <c r="H12" s="175">
        <v>5.62E-3</v>
      </c>
      <c r="I12" s="25"/>
      <c r="J12" s="25"/>
      <c r="K12" s="25"/>
      <c r="L12" s="25"/>
      <c r="M12" s="25"/>
      <c r="N12" s="25"/>
      <c r="O12" s="25"/>
      <c r="P12" s="25"/>
      <c r="Q12" s="25"/>
    </row>
    <row r="13" spans="1:19" outlineLevel="1" x14ac:dyDescent="0.3">
      <c r="A13" s="240" t="s">
        <v>205</v>
      </c>
      <c r="B13" s="175">
        <v>16.47687941141</v>
      </c>
      <c r="C13" s="175">
        <v>625.83142455484995</v>
      </c>
      <c r="D13" s="197">
        <v>0.113383</v>
      </c>
      <c r="E13" s="175">
        <v>18.916013072719998</v>
      </c>
      <c r="F13" s="175">
        <v>795.21027356530999</v>
      </c>
      <c r="G13" s="197">
        <v>0.113912</v>
      </c>
      <c r="H13" s="175">
        <v>5.2899999999999996E-4</v>
      </c>
      <c r="I13" s="25"/>
      <c r="J13" s="25"/>
      <c r="K13" s="25"/>
      <c r="L13" s="25"/>
      <c r="M13" s="25"/>
      <c r="N13" s="25"/>
      <c r="O13" s="25"/>
      <c r="P13" s="25"/>
      <c r="Q13" s="25"/>
    </row>
    <row r="14" spans="1:19" outlineLevel="1" x14ac:dyDescent="0.3">
      <c r="A14" s="240" t="s">
        <v>206</v>
      </c>
      <c r="B14" s="175">
        <v>39.537550508709998</v>
      </c>
      <c r="C14" s="175">
        <v>1501.7310584435299</v>
      </c>
      <c r="D14" s="197">
        <v>0.27207100000000001</v>
      </c>
      <c r="E14" s="175">
        <v>42.067872020700001</v>
      </c>
      <c r="F14" s="175">
        <v>1768.4912718688199</v>
      </c>
      <c r="G14" s="197">
        <v>0.253332</v>
      </c>
      <c r="H14" s="175">
        <v>-1.8738999999999999E-2</v>
      </c>
      <c r="I14" s="25"/>
      <c r="J14" s="25"/>
      <c r="K14" s="25"/>
      <c r="L14" s="25"/>
      <c r="M14" s="25"/>
      <c r="N14" s="25"/>
      <c r="O14" s="25"/>
      <c r="P14" s="25"/>
      <c r="Q14" s="25"/>
    </row>
    <row r="15" spans="1:19" outlineLevel="1" x14ac:dyDescent="0.3">
      <c r="A15" s="240" t="s">
        <v>207</v>
      </c>
      <c r="B15" s="175">
        <v>0.94627132542000003</v>
      </c>
      <c r="C15" s="175">
        <v>35.941655990729998</v>
      </c>
      <c r="D15" s="197">
        <v>6.5120000000000004E-3</v>
      </c>
      <c r="E15" s="175">
        <v>0.84658439538999997</v>
      </c>
      <c r="F15" s="175">
        <v>35.589561397920001</v>
      </c>
      <c r="G15" s="197">
        <v>5.0980000000000001E-3</v>
      </c>
      <c r="H15" s="175">
        <v>-1.413E-3</v>
      </c>
      <c r="I15" s="25"/>
      <c r="J15" s="25"/>
      <c r="K15" s="25"/>
      <c r="L15" s="25"/>
      <c r="M15" s="25"/>
      <c r="N15" s="25"/>
      <c r="O15" s="25"/>
      <c r="P15" s="25"/>
      <c r="Q15" s="25"/>
    </row>
    <row r="16" spans="1:19" x14ac:dyDescent="0.3">
      <c r="B16" s="24"/>
      <c r="C16" s="24"/>
      <c r="D16" s="62"/>
      <c r="E16" s="24"/>
      <c r="F16" s="24"/>
      <c r="G16" s="62"/>
      <c r="H16" s="24"/>
      <c r="I16" s="25"/>
      <c r="J16" s="25"/>
      <c r="K16" s="25"/>
      <c r="L16" s="25"/>
      <c r="M16" s="25"/>
      <c r="N16" s="25"/>
      <c r="O16" s="25"/>
      <c r="P16" s="25"/>
      <c r="Q16" s="25"/>
    </row>
    <row r="17" spans="1:19" x14ac:dyDescent="0.3">
      <c r="B17" s="24"/>
      <c r="C17" s="24"/>
      <c r="D17" s="62"/>
      <c r="E17" s="24"/>
      <c r="F17" s="24"/>
      <c r="G17" s="62"/>
      <c r="H17" s="24"/>
      <c r="I17" s="25"/>
      <c r="J17" s="25"/>
      <c r="K17" s="25"/>
      <c r="L17" s="25"/>
      <c r="M17" s="25"/>
      <c r="N17" s="25"/>
      <c r="O17" s="25"/>
      <c r="P17" s="25"/>
      <c r="Q17" s="25"/>
    </row>
    <row r="18" spans="1:19" x14ac:dyDescent="0.3">
      <c r="B18" s="24"/>
      <c r="C18" s="24"/>
      <c r="D18" s="62"/>
      <c r="E18" s="24"/>
      <c r="F18" s="24"/>
      <c r="G18" s="62"/>
      <c r="H18" s="24"/>
      <c r="I18" s="25"/>
      <c r="J18" s="25"/>
      <c r="K18" s="25"/>
      <c r="L18" s="25"/>
      <c r="M18" s="25"/>
      <c r="N18" s="25"/>
      <c r="O18" s="25"/>
      <c r="P18" s="25"/>
      <c r="Q18" s="25"/>
    </row>
    <row r="19" spans="1:19" x14ac:dyDescent="0.3">
      <c r="B19" s="24"/>
      <c r="C19" s="24"/>
      <c r="D19" s="62"/>
      <c r="E19" s="24"/>
      <c r="F19" s="24"/>
      <c r="G19" s="62"/>
      <c r="H19" s="24"/>
      <c r="I19" s="25"/>
      <c r="J19" s="25"/>
      <c r="K19" s="25"/>
      <c r="L19" s="25"/>
      <c r="M19" s="25"/>
      <c r="N19" s="25"/>
      <c r="O19" s="25"/>
      <c r="P19" s="25"/>
      <c r="Q19" s="25"/>
    </row>
    <row r="20" spans="1:19" x14ac:dyDescent="0.3">
      <c r="B20" s="24"/>
      <c r="C20" s="24"/>
      <c r="D20" s="62"/>
      <c r="E20" s="24"/>
      <c r="F20" s="24"/>
      <c r="G20" s="62"/>
      <c r="H20" s="24"/>
      <c r="I20" s="25"/>
      <c r="J20" s="25"/>
      <c r="K20" s="25"/>
      <c r="L20" s="25"/>
      <c r="M20" s="25"/>
      <c r="N20" s="25"/>
      <c r="O20" s="25"/>
      <c r="P20" s="25"/>
      <c r="Q20" s="25"/>
    </row>
    <row r="21" spans="1:19" x14ac:dyDescent="0.3">
      <c r="B21" s="24"/>
      <c r="C21" s="24"/>
      <c r="D21" s="62"/>
      <c r="E21" s="24"/>
      <c r="F21" s="24"/>
      <c r="G21" s="62"/>
      <c r="H21" s="26" t="str">
        <f>VALVAL</f>
        <v>млрд. одиниць</v>
      </c>
      <c r="I21" s="25"/>
      <c r="J21" s="25"/>
      <c r="K21" s="25"/>
      <c r="L21" s="25"/>
      <c r="M21" s="25"/>
      <c r="N21" s="25"/>
      <c r="O21" s="25"/>
      <c r="P21" s="25"/>
      <c r="Q21" s="25"/>
    </row>
    <row r="22" spans="1:19" x14ac:dyDescent="0.3">
      <c r="A22" s="77"/>
      <c r="B22" s="283">
        <v>45291</v>
      </c>
      <c r="C22" s="284"/>
      <c r="D22" s="285"/>
      <c r="E22" s="283">
        <v>45657</v>
      </c>
      <c r="F22" s="284"/>
      <c r="G22" s="285"/>
      <c r="H22" s="78"/>
      <c r="I22" s="52"/>
      <c r="J22" s="52"/>
      <c r="K22" s="52"/>
      <c r="L22" s="52"/>
      <c r="M22" s="52"/>
      <c r="N22" s="52"/>
      <c r="O22" s="52"/>
      <c r="P22" s="52"/>
      <c r="Q22" s="52"/>
      <c r="R22" s="52"/>
      <c r="S22" s="52"/>
    </row>
    <row r="23" spans="1:19" s="82" customFormat="1" x14ac:dyDescent="0.3">
      <c r="A23" s="80"/>
      <c r="B23" s="88" t="str">
        <f>USD</f>
        <v>дол.США</v>
      </c>
      <c r="C23" s="88" t="str">
        <f>UAH</f>
        <v>грн.</v>
      </c>
      <c r="D23" s="89" t="s">
        <v>0</v>
      </c>
      <c r="E23" s="88" t="str">
        <f>USD</f>
        <v>дол.США</v>
      </c>
      <c r="F23" s="88" t="str">
        <f>UAH</f>
        <v>грн.</v>
      </c>
      <c r="G23" s="89" t="s">
        <v>0</v>
      </c>
      <c r="H23" s="88" t="str">
        <f>CHANGE_OF_STRUCTURE</f>
        <v>Зміна структури</v>
      </c>
      <c r="I23" s="81"/>
      <c r="J23" s="81"/>
      <c r="K23" s="81"/>
      <c r="L23" s="81"/>
      <c r="M23" s="81"/>
      <c r="N23" s="81"/>
      <c r="O23" s="81"/>
      <c r="P23" s="81"/>
      <c r="Q23" s="81"/>
    </row>
    <row r="24" spans="1:19" s="35" customFormat="1" ht="14.5" x14ac:dyDescent="0.35">
      <c r="A24" s="151" t="str">
        <f>DEBT_TOTAL</f>
        <v>Загальна сума державного та гарантованого державою боргу</v>
      </c>
      <c r="B24" s="85">
        <f t="shared" ref="B24:H24" si="1">B$33+B$25</f>
        <v>145.32087120896</v>
      </c>
      <c r="C24" s="85">
        <f t="shared" si="1"/>
        <v>5519.6354586101497</v>
      </c>
      <c r="D24" s="86">
        <f t="shared" si="1"/>
        <v>1.0000010000000001</v>
      </c>
      <c r="E24" s="85">
        <f t="shared" si="1"/>
        <v>166.05851744312</v>
      </c>
      <c r="F24" s="85">
        <f t="shared" si="1"/>
        <v>6980.93401478539</v>
      </c>
      <c r="G24" s="86">
        <f t="shared" si="1"/>
        <v>1.0000000000000002</v>
      </c>
      <c r="H24" s="90">
        <f t="shared" si="1"/>
        <v>1.0000000000010001E-6</v>
      </c>
      <c r="I24" s="34"/>
      <c r="J24" s="34"/>
      <c r="K24" s="34"/>
      <c r="L24" s="34"/>
      <c r="M24" s="34"/>
      <c r="N24" s="34"/>
      <c r="O24" s="34"/>
      <c r="P24" s="34"/>
      <c r="Q24" s="34"/>
    </row>
    <row r="25" spans="1:19" s="61" customFormat="1" ht="14.5" outlineLevel="1" x14ac:dyDescent="0.35">
      <c r="A25" s="255" t="s">
        <v>1</v>
      </c>
      <c r="B25" s="256">
        <f t="shared" ref="B25:H25" si="2">SUM(B$26:B$32)</f>
        <v>136.59196737241001</v>
      </c>
      <c r="C25" s="256">
        <f t="shared" si="2"/>
        <v>5188.0907415274296</v>
      </c>
      <c r="D25" s="257">
        <f t="shared" si="2"/>
        <v>0.93993400000000005</v>
      </c>
      <c r="E25" s="256">
        <f t="shared" si="2"/>
        <v>159.19557804599</v>
      </c>
      <c r="F25" s="256">
        <f t="shared" si="2"/>
        <v>6692.4229054677799</v>
      </c>
      <c r="G25" s="257">
        <f t="shared" si="2"/>
        <v>0.95867100000000016</v>
      </c>
      <c r="H25" s="261">
        <f t="shared" si="2"/>
        <v>1.8738999999999999E-2</v>
      </c>
      <c r="I25" s="60"/>
      <c r="J25" s="60"/>
      <c r="K25" s="60"/>
      <c r="L25" s="60"/>
      <c r="M25" s="60"/>
      <c r="N25" s="60"/>
      <c r="O25" s="60"/>
      <c r="P25" s="60"/>
      <c r="Q25" s="60"/>
    </row>
    <row r="26" spans="1:19" s="39" customFormat="1" outlineLevel="2" x14ac:dyDescent="0.3">
      <c r="A26" s="244" t="s">
        <v>201</v>
      </c>
      <c r="B26" s="160">
        <v>2.3454162970000001E-2</v>
      </c>
      <c r="C26" s="160">
        <v>0.89084539944999996</v>
      </c>
      <c r="D26" s="163">
        <v>1.6100000000000001E-4</v>
      </c>
      <c r="E26" s="160">
        <v>0.19013951203000001</v>
      </c>
      <c r="F26" s="160">
        <v>7.9932749460499997</v>
      </c>
      <c r="G26" s="163">
        <v>1.145E-3</v>
      </c>
      <c r="H26" s="160">
        <v>9.8400000000000007E-4</v>
      </c>
      <c r="I26" s="38"/>
      <c r="J26" s="38"/>
      <c r="K26" s="38"/>
      <c r="L26" s="38"/>
      <c r="M26" s="38"/>
      <c r="N26" s="38"/>
      <c r="O26" s="38"/>
      <c r="P26" s="38"/>
      <c r="Q26" s="38"/>
    </row>
    <row r="27" spans="1:19" outlineLevel="2" x14ac:dyDescent="0.3">
      <c r="A27" s="254" t="s">
        <v>202</v>
      </c>
      <c r="B27" s="175">
        <v>34.636033317980001</v>
      </c>
      <c r="C27" s="175">
        <v>1315.55967189683</v>
      </c>
      <c r="D27" s="197">
        <v>0.238342</v>
      </c>
      <c r="E27" s="175">
        <v>41.946064231139999</v>
      </c>
      <c r="F27" s="175">
        <v>1763.3705942129</v>
      </c>
      <c r="G27" s="197">
        <v>0.25259799999999999</v>
      </c>
      <c r="H27" s="175">
        <v>1.4256E-2</v>
      </c>
      <c r="I27" s="25"/>
      <c r="J27" s="25"/>
      <c r="K27" s="25"/>
      <c r="L27" s="25"/>
      <c r="M27" s="25"/>
      <c r="N27" s="25"/>
      <c r="O27" s="25"/>
      <c r="P27" s="25"/>
      <c r="Q27" s="25"/>
    </row>
    <row r="28" spans="1:19" outlineLevel="2" x14ac:dyDescent="0.3">
      <c r="A28" s="254" t="s">
        <v>203</v>
      </c>
      <c r="B28" s="175">
        <v>45.359521504040003</v>
      </c>
      <c r="C28" s="175">
        <v>1722.8634895781699</v>
      </c>
      <c r="D28" s="197">
        <v>0.31213400000000002</v>
      </c>
      <c r="E28" s="175">
        <v>53.205683323819997</v>
      </c>
      <c r="F28" s="175">
        <v>2236.7137212514099</v>
      </c>
      <c r="G28" s="197">
        <v>0.32040299999999999</v>
      </c>
      <c r="H28" s="175">
        <v>8.2699999999999996E-3</v>
      </c>
      <c r="I28" s="25"/>
      <c r="J28" s="25"/>
      <c r="K28" s="25"/>
      <c r="L28" s="25"/>
      <c r="M28" s="25"/>
      <c r="N28" s="25"/>
      <c r="O28" s="25"/>
      <c r="P28" s="25"/>
      <c r="Q28" s="25"/>
    </row>
    <row r="29" spans="1:19" outlineLevel="2" x14ac:dyDescent="0.3">
      <c r="A29" s="254" t="s">
        <v>204</v>
      </c>
      <c r="B29" s="175">
        <v>3.28923053835</v>
      </c>
      <c r="C29" s="175">
        <v>124.93286999999999</v>
      </c>
      <c r="D29" s="197">
        <v>2.2634000000000001E-2</v>
      </c>
      <c r="E29" s="175">
        <v>4.6918914579299997</v>
      </c>
      <c r="F29" s="175">
        <v>197.242425</v>
      </c>
      <c r="G29" s="197">
        <v>2.8254000000000001E-2</v>
      </c>
      <c r="H29" s="175">
        <v>5.62E-3</v>
      </c>
      <c r="I29" s="25"/>
      <c r="J29" s="25"/>
      <c r="K29" s="25"/>
      <c r="L29" s="25"/>
      <c r="M29" s="25"/>
      <c r="N29" s="25"/>
      <c r="O29" s="25"/>
      <c r="P29" s="25"/>
      <c r="Q29" s="25"/>
    </row>
    <row r="30" spans="1:19" outlineLevel="2" x14ac:dyDescent="0.3">
      <c r="A30" s="254" t="s">
        <v>205</v>
      </c>
      <c r="B30" s="175">
        <v>14.23695525804</v>
      </c>
      <c r="C30" s="175">
        <v>540.75372939198996</v>
      </c>
      <c r="D30" s="197">
        <v>9.7969000000000001E-2</v>
      </c>
      <c r="E30" s="175">
        <v>17.665421749109999</v>
      </c>
      <c r="F30" s="175">
        <v>742.63666491172</v>
      </c>
      <c r="G30" s="197">
        <v>0.106381</v>
      </c>
      <c r="H30" s="175">
        <v>8.4119999999999993E-3</v>
      </c>
      <c r="I30" s="25"/>
      <c r="J30" s="25"/>
      <c r="K30" s="25"/>
      <c r="L30" s="25"/>
      <c r="M30" s="25"/>
      <c r="N30" s="25"/>
      <c r="O30" s="25"/>
      <c r="P30" s="25"/>
      <c r="Q30" s="25"/>
    </row>
    <row r="31" spans="1:19" outlineLevel="2" x14ac:dyDescent="0.3">
      <c r="A31" s="254" t="s">
        <v>206</v>
      </c>
      <c r="B31" s="175">
        <v>38.100501265609999</v>
      </c>
      <c r="C31" s="175">
        <v>1447.1484792702599</v>
      </c>
      <c r="D31" s="197">
        <v>0.26218200000000003</v>
      </c>
      <c r="E31" s="175">
        <v>40.649793376570003</v>
      </c>
      <c r="F31" s="175">
        <v>1708.87666374778</v>
      </c>
      <c r="G31" s="197">
        <v>0.24479200000000001</v>
      </c>
      <c r="H31" s="175">
        <v>-1.7389999999999999E-2</v>
      </c>
      <c r="I31" s="25"/>
      <c r="J31" s="25"/>
      <c r="K31" s="25"/>
      <c r="L31" s="25"/>
      <c r="M31" s="25"/>
      <c r="N31" s="25"/>
      <c r="O31" s="25"/>
      <c r="P31" s="25"/>
      <c r="Q31" s="25"/>
    </row>
    <row r="32" spans="1:19" s="26" customFormat="1" outlineLevel="2" x14ac:dyDescent="0.3">
      <c r="A32" s="254" t="s">
        <v>207</v>
      </c>
      <c r="B32" s="262">
        <v>0.94627132542000003</v>
      </c>
      <c r="C32" s="262">
        <v>35.941655990729998</v>
      </c>
      <c r="D32" s="263">
        <v>6.5120000000000004E-3</v>
      </c>
      <c r="E32" s="262">
        <v>0.84658439538999997</v>
      </c>
      <c r="F32" s="262">
        <v>35.589561397920001</v>
      </c>
      <c r="G32" s="263">
        <v>5.0980000000000001E-3</v>
      </c>
      <c r="H32" s="262">
        <v>-1.413E-3</v>
      </c>
    </row>
    <row r="33" spans="1:17" ht="14.5" outlineLevel="1" x14ac:dyDescent="0.35">
      <c r="A33" s="258" t="s">
        <v>2</v>
      </c>
      <c r="B33" s="259">
        <f t="shared" ref="B33:H33" si="3">SUM(B$34:B$37)</f>
        <v>8.7289038365499998</v>
      </c>
      <c r="C33" s="259">
        <f t="shared" si="3"/>
        <v>331.54471708272001</v>
      </c>
      <c r="D33" s="260">
        <f t="shared" si="3"/>
        <v>6.0067000000000002E-2</v>
      </c>
      <c r="E33" s="259">
        <f t="shared" si="3"/>
        <v>6.8629393971300008</v>
      </c>
      <c r="F33" s="259">
        <f t="shared" si="3"/>
        <v>288.51110931761002</v>
      </c>
      <c r="G33" s="260">
        <f t="shared" si="3"/>
        <v>4.1328999999999998E-2</v>
      </c>
      <c r="H33" s="259">
        <f t="shared" si="3"/>
        <v>-1.8737999999999998E-2</v>
      </c>
      <c r="I33" s="25"/>
      <c r="J33" s="25"/>
      <c r="K33" s="25"/>
      <c r="L33" s="25"/>
      <c r="M33" s="25"/>
      <c r="N33" s="25"/>
      <c r="O33" s="25"/>
      <c r="P33" s="25"/>
      <c r="Q33" s="25"/>
    </row>
    <row r="34" spans="1:17" outlineLevel="2" x14ac:dyDescent="0.3">
      <c r="A34" s="254" t="s">
        <v>202</v>
      </c>
      <c r="B34" s="175">
        <v>3.4485596405900001</v>
      </c>
      <c r="C34" s="175">
        <v>130.98457169276</v>
      </c>
      <c r="D34" s="197">
        <v>2.3730999999999999E-2</v>
      </c>
      <c r="E34" s="175">
        <v>2.5775288199799999</v>
      </c>
      <c r="F34" s="175">
        <v>108.35673406313001</v>
      </c>
      <c r="G34" s="197">
        <v>1.5521999999999999E-2</v>
      </c>
      <c r="H34" s="175">
        <v>-8.2089999999999993E-3</v>
      </c>
      <c r="I34" s="25"/>
      <c r="J34" s="25"/>
      <c r="K34" s="25"/>
      <c r="L34" s="25"/>
      <c r="M34" s="25"/>
      <c r="N34" s="25"/>
      <c r="O34" s="25"/>
      <c r="P34" s="25"/>
      <c r="Q34" s="25"/>
    </row>
    <row r="35" spans="1:17" outlineLevel="2" x14ac:dyDescent="0.3">
      <c r="A35" s="254" t="s">
        <v>203</v>
      </c>
      <c r="B35" s="175">
        <v>1.6033707994899999</v>
      </c>
      <c r="C35" s="175">
        <v>60.899871053829997</v>
      </c>
      <c r="D35" s="197">
        <v>1.1032999999999999E-2</v>
      </c>
      <c r="E35" s="175">
        <v>1.6167406094100001</v>
      </c>
      <c r="F35" s="175">
        <v>67.966158479849994</v>
      </c>
      <c r="G35" s="197">
        <v>9.7359999999999999E-3</v>
      </c>
      <c r="H35" s="175">
        <v>-1.297E-3</v>
      </c>
      <c r="I35" s="25"/>
      <c r="J35" s="25"/>
      <c r="K35" s="25"/>
      <c r="L35" s="25"/>
      <c r="M35" s="25"/>
      <c r="N35" s="25"/>
      <c r="O35" s="25"/>
      <c r="P35" s="25"/>
      <c r="Q35" s="25"/>
    </row>
    <row r="36" spans="1:17" outlineLevel="2" x14ac:dyDescent="0.3">
      <c r="A36" s="254" t="s">
        <v>205</v>
      </c>
      <c r="B36" s="175">
        <v>2.2399241533700001</v>
      </c>
      <c r="C36" s="175">
        <v>85.077695162859996</v>
      </c>
      <c r="D36" s="197">
        <v>1.5414000000000001E-2</v>
      </c>
      <c r="E36" s="175">
        <v>1.2505913236099999</v>
      </c>
      <c r="F36" s="175">
        <v>52.57360865359</v>
      </c>
      <c r="G36" s="197">
        <v>7.5310000000000004E-3</v>
      </c>
      <c r="H36" s="175">
        <v>-7.8829999999999994E-3</v>
      </c>
      <c r="I36" s="25"/>
      <c r="J36" s="25"/>
      <c r="K36" s="25"/>
      <c r="L36" s="25"/>
      <c r="M36" s="25"/>
      <c r="N36" s="25"/>
      <c r="O36" s="25"/>
      <c r="P36" s="25"/>
      <c r="Q36" s="25"/>
    </row>
    <row r="37" spans="1:17" outlineLevel="2" x14ac:dyDescent="0.3">
      <c r="A37" s="254" t="s">
        <v>206</v>
      </c>
      <c r="B37" s="175">
        <v>1.4370492430999999</v>
      </c>
      <c r="C37" s="175">
        <v>54.582579173269998</v>
      </c>
      <c r="D37" s="197">
        <v>9.8890000000000002E-3</v>
      </c>
      <c r="E37" s="175">
        <v>1.41807864413</v>
      </c>
      <c r="F37" s="175">
        <v>59.61460812104</v>
      </c>
      <c r="G37" s="197">
        <v>8.5400000000000007E-3</v>
      </c>
      <c r="H37" s="175">
        <v>-1.3489999999999999E-3</v>
      </c>
      <c r="I37" s="25"/>
      <c r="J37" s="25"/>
      <c r="K37" s="25"/>
      <c r="L37" s="25"/>
      <c r="M37" s="25"/>
      <c r="N37" s="25"/>
      <c r="O37" s="25"/>
      <c r="P37" s="25"/>
      <c r="Q37" s="25"/>
    </row>
    <row r="38" spans="1:17" x14ac:dyDescent="0.3">
      <c r="B38" s="24"/>
      <c r="C38" s="24"/>
      <c r="D38" s="62"/>
      <c r="E38" s="24"/>
      <c r="F38" s="24"/>
      <c r="G38" s="62"/>
      <c r="H38" s="24"/>
      <c r="I38" s="25"/>
      <c r="J38" s="25"/>
      <c r="K38" s="25"/>
      <c r="L38" s="25"/>
      <c r="M38" s="25"/>
      <c r="N38" s="25"/>
      <c r="O38" s="25"/>
      <c r="P38" s="25"/>
      <c r="Q38" s="25"/>
    </row>
    <row r="39" spans="1:17" x14ac:dyDescent="0.3">
      <c r="B39" s="24"/>
      <c r="C39" s="24"/>
      <c r="D39" s="62"/>
      <c r="E39" s="24"/>
      <c r="F39" s="24"/>
      <c r="G39" s="62"/>
      <c r="H39" s="24"/>
      <c r="I39" s="25"/>
      <c r="J39" s="25"/>
      <c r="K39" s="25"/>
      <c r="L39" s="25"/>
      <c r="M39" s="25"/>
      <c r="N39" s="25"/>
      <c r="O39" s="25"/>
      <c r="P39" s="25"/>
      <c r="Q39" s="25"/>
    </row>
    <row r="40" spans="1:17" x14ac:dyDescent="0.3">
      <c r="B40" s="24"/>
      <c r="C40" s="24"/>
      <c r="D40" s="62"/>
      <c r="E40" s="24"/>
      <c r="F40" s="24"/>
      <c r="G40" s="62"/>
      <c r="H40" s="24"/>
      <c r="I40" s="25"/>
      <c r="J40" s="25"/>
      <c r="K40" s="25"/>
      <c r="L40" s="25"/>
      <c r="M40" s="25"/>
      <c r="N40" s="25"/>
      <c r="O40" s="25"/>
      <c r="P40" s="25"/>
      <c r="Q40" s="25"/>
    </row>
    <row r="41" spans="1:17" x14ac:dyDescent="0.3">
      <c r="B41" s="24"/>
      <c r="C41" s="24"/>
      <c r="D41" s="62"/>
      <c r="E41" s="24"/>
      <c r="F41" s="24"/>
      <c r="G41" s="62"/>
      <c r="H41" s="24"/>
      <c r="I41" s="25"/>
      <c r="J41" s="25"/>
      <c r="K41" s="25"/>
      <c r="L41" s="25"/>
      <c r="M41" s="25"/>
      <c r="N41" s="25"/>
      <c r="O41" s="25"/>
      <c r="P41" s="25"/>
      <c r="Q41" s="25"/>
    </row>
    <row r="42" spans="1:17" x14ac:dyDescent="0.3">
      <c r="B42" s="24"/>
      <c r="C42" s="24"/>
      <c r="D42" s="62"/>
      <c r="E42" s="24"/>
      <c r="F42" s="24"/>
      <c r="G42" s="62"/>
      <c r="H42" s="24"/>
      <c r="I42" s="25"/>
      <c r="J42" s="25"/>
      <c r="K42" s="25"/>
      <c r="L42" s="25"/>
      <c r="M42" s="25"/>
      <c r="N42" s="25"/>
      <c r="O42" s="25"/>
      <c r="P42" s="25"/>
      <c r="Q42" s="25"/>
    </row>
    <row r="43" spans="1:17" x14ac:dyDescent="0.3">
      <c r="B43" s="24"/>
      <c r="C43" s="24"/>
      <c r="D43" s="62"/>
      <c r="E43" s="24"/>
      <c r="F43" s="24"/>
      <c r="G43" s="62"/>
      <c r="H43" s="24"/>
      <c r="I43" s="25"/>
      <c r="J43" s="25"/>
      <c r="K43" s="25"/>
      <c r="L43" s="25"/>
      <c r="M43" s="25"/>
      <c r="N43" s="25"/>
      <c r="O43" s="25"/>
      <c r="P43" s="25"/>
      <c r="Q43" s="25"/>
    </row>
    <row r="44" spans="1:17" x14ac:dyDescent="0.3">
      <c r="B44" s="24"/>
      <c r="C44" s="24"/>
      <c r="D44" s="62"/>
      <c r="E44" s="24"/>
      <c r="F44" s="24"/>
      <c r="G44" s="62"/>
      <c r="H44" s="24"/>
      <c r="I44" s="25"/>
      <c r="J44" s="25"/>
      <c r="K44" s="25"/>
      <c r="L44" s="25"/>
      <c r="M44" s="25"/>
      <c r="N44" s="25"/>
      <c r="O44" s="25"/>
      <c r="P44" s="25"/>
      <c r="Q44" s="25"/>
    </row>
    <row r="45" spans="1:17" x14ac:dyDescent="0.3">
      <c r="B45" s="24"/>
      <c r="C45" s="24"/>
      <c r="D45" s="62"/>
      <c r="E45" s="24"/>
      <c r="F45" s="24"/>
      <c r="G45" s="62"/>
      <c r="H45" s="24"/>
      <c r="I45" s="25"/>
      <c r="J45" s="25"/>
      <c r="K45" s="25"/>
      <c r="L45" s="25"/>
      <c r="M45" s="25"/>
      <c r="N45" s="25"/>
      <c r="O45" s="25"/>
      <c r="P45" s="25"/>
      <c r="Q45" s="25"/>
    </row>
    <row r="46" spans="1:17" x14ac:dyDescent="0.3">
      <c r="B46" s="24"/>
      <c r="C46" s="24"/>
      <c r="D46" s="62"/>
      <c r="E46" s="24"/>
      <c r="F46" s="24"/>
      <c r="G46" s="62"/>
      <c r="H46" s="24"/>
      <c r="I46" s="25"/>
      <c r="J46" s="25"/>
      <c r="K46" s="25"/>
      <c r="L46" s="25"/>
      <c r="M46" s="25"/>
      <c r="N46" s="25"/>
      <c r="O46" s="25"/>
      <c r="P46" s="25"/>
      <c r="Q46" s="25"/>
    </row>
    <row r="47" spans="1:17" x14ac:dyDescent="0.3">
      <c r="B47" s="24"/>
      <c r="C47" s="24"/>
      <c r="D47" s="62"/>
      <c r="E47" s="24"/>
      <c r="F47" s="24"/>
      <c r="G47" s="62"/>
      <c r="H47" s="24"/>
      <c r="I47" s="25"/>
      <c r="J47" s="25"/>
      <c r="K47" s="25"/>
      <c r="L47" s="25"/>
      <c r="M47" s="25"/>
      <c r="N47" s="25"/>
      <c r="O47" s="25"/>
      <c r="P47" s="25"/>
      <c r="Q47" s="25"/>
    </row>
    <row r="48" spans="1:17" x14ac:dyDescent="0.3">
      <c r="B48" s="24"/>
      <c r="C48" s="24"/>
      <c r="D48" s="62"/>
      <c r="E48" s="24"/>
      <c r="F48" s="24"/>
      <c r="G48" s="62"/>
      <c r="H48" s="24"/>
      <c r="I48" s="25"/>
      <c r="J48" s="25"/>
      <c r="K48" s="25"/>
      <c r="L48" s="25"/>
      <c r="M48" s="25"/>
      <c r="N48" s="25"/>
      <c r="O48" s="25"/>
      <c r="P48" s="25"/>
      <c r="Q48" s="25"/>
    </row>
    <row r="49" spans="2:17" x14ac:dyDescent="0.3">
      <c r="B49" s="24"/>
      <c r="C49" s="24"/>
      <c r="D49" s="62"/>
      <c r="E49" s="24"/>
      <c r="F49" s="24"/>
      <c r="G49" s="62"/>
      <c r="H49" s="24"/>
      <c r="I49" s="25"/>
      <c r="J49" s="25"/>
      <c r="K49" s="25"/>
      <c r="L49" s="25"/>
      <c r="M49" s="25"/>
      <c r="N49" s="25"/>
      <c r="O49" s="25"/>
      <c r="P49" s="25"/>
      <c r="Q49" s="25"/>
    </row>
    <row r="50" spans="2:17" x14ac:dyDescent="0.3">
      <c r="B50" s="24"/>
      <c r="C50" s="24"/>
      <c r="D50" s="62"/>
      <c r="E50" s="24"/>
      <c r="F50" s="24"/>
      <c r="G50" s="62"/>
      <c r="H50" s="24"/>
      <c r="I50" s="25"/>
      <c r="J50" s="25"/>
      <c r="K50" s="25"/>
      <c r="L50" s="25"/>
      <c r="M50" s="25"/>
      <c r="N50" s="25"/>
      <c r="O50" s="25"/>
      <c r="P50" s="25"/>
      <c r="Q50" s="25"/>
    </row>
    <row r="51" spans="2:17" x14ac:dyDescent="0.3">
      <c r="B51" s="24"/>
      <c r="C51" s="24"/>
      <c r="D51" s="62"/>
      <c r="E51" s="24"/>
      <c r="F51" s="24"/>
      <c r="G51" s="62"/>
      <c r="H51" s="24"/>
      <c r="I51" s="25"/>
      <c r="J51" s="25"/>
      <c r="K51" s="25"/>
      <c r="L51" s="25"/>
      <c r="M51" s="25"/>
      <c r="N51" s="25"/>
      <c r="O51" s="25"/>
      <c r="P51" s="25"/>
      <c r="Q51" s="25"/>
    </row>
    <row r="52" spans="2:17" x14ac:dyDescent="0.3">
      <c r="B52" s="24"/>
      <c r="C52" s="24"/>
      <c r="D52" s="62"/>
      <c r="E52" s="24"/>
      <c r="F52" s="24"/>
      <c r="G52" s="62"/>
      <c r="H52" s="24"/>
      <c r="I52" s="25"/>
      <c r="J52" s="25"/>
      <c r="K52" s="25"/>
      <c r="L52" s="25"/>
      <c r="M52" s="25"/>
      <c r="N52" s="25"/>
      <c r="O52" s="25"/>
      <c r="P52" s="25"/>
      <c r="Q52" s="25"/>
    </row>
    <row r="53" spans="2:17" x14ac:dyDescent="0.3">
      <c r="B53" s="24"/>
      <c r="C53" s="24"/>
      <c r="D53" s="62"/>
      <c r="E53" s="24"/>
      <c r="F53" s="24"/>
      <c r="G53" s="62"/>
      <c r="H53" s="24"/>
      <c r="I53" s="25"/>
      <c r="J53" s="25"/>
      <c r="K53" s="25"/>
      <c r="L53" s="25"/>
      <c r="M53" s="25"/>
      <c r="N53" s="25"/>
      <c r="O53" s="25"/>
      <c r="P53" s="25"/>
      <c r="Q53" s="25"/>
    </row>
    <row r="54" spans="2:17" x14ac:dyDescent="0.3">
      <c r="B54" s="24"/>
      <c r="C54" s="24"/>
      <c r="D54" s="62"/>
      <c r="E54" s="24"/>
      <c r="F54" s="24"/>
      <c r="G54" s="62"/>
      <c r="H54" s="24"/>
      <c r="I54" s="25"/>
      <c r="J54" s="25"/>
      <c r="K54" s="25"/>
      <c r="L54" s="25"/>
      <c r="M54" s="25"/>
      <c r="N54" s="25"/>
      <c r="O54" s="25"/>
      <c r="P54" s="25"/>
      <c r="Q54" s="25"/>
    </row>
    <row r="55" spans="2:17" x14ac:dyDescent="0.3">
      <c r="B55" s="24"/>
      <c r="C55" s="24"/>
      <c r="D55" s="62"/>
      <c r="E55" s="24"/>
      <c r="F55" s="24"/>
      <c r="G55" s="62"/>
      <c r="H55" s="24"/>
      <c r="I55" s="25"/>
      <c r="J55" s="25"/>
      <c r="K55" s="25"/>
      <c r="L55" s="25"/>
      <c r="M55" s="25"/>
      <c r="N55" s="25"/>
      <c r="O55" s="25"/>
      <c r="P55" s="25"/>
      <c r="Q55" s="25"/>
    </row>
    <row r="56" spans="2:17" x14ac:dyDescent="0.3">
      <c r="B56" s="24"/>
      <c r="C56" s="24"/>
      <c r="D56" s="62"/>
      <c r="E56" s="24"/>
      <c r="F56" s="24"/>
      <c r="G56" s="62"/>
      <c r="H56" s="24"/>
      <c r="I56" s="25"/>
      <c r="J56" s="25"/>
      <c r="K56" s="25"/>
      <c r="L56" s="25"/>
      <c r="M56" s="25"/>
      <c r="N56" s="25"/>
      <c r="O56" s="25"/>
      <c r="P56" s="25"/>
      <c r="Q56" s="25"/>
    </row>
    <row r="57" spans="2:17" x14ac:dyDescent="0.3">
      <c r="B57" s="24"/>
      <c r="C57" s="24"/>
      <c r="D57" s="62"/>
      <c r="E57" s="24"/>
      <c r="F57" s="24"/>
      <c r="G57" s="62"/>
      <c r="H57" s="24"/>
      <c r="I57" s="25"/>
      <c r="J57" s="25"/>
      <c r="K57" s="25"/>
      <c r="L57" s="25"/>
      <c r="M57" s="25"/>
      <c r="N57" s="25"/>
      <c r="O57" s="25"/>
      <c r="P57" s="25"/>
      <c r="Q57" s="25"/>
    </row>
    <row r="58" spans="2:17" x14ac:dyDescent="0.3">
      <c r="B58" s="24"/>
      <c r="C58" s="24"/>
      <c r="D58" s="62"/>
      <c r="E58" s="24"/>
      <c r="F58" s="24"/>
      <c r="G58" s="62"/>
      <c r="H58" s="24"/>
      <c r="I58" s="25"/>
      <c r="J58" s="25"/>
      <c r="K58" s="25"/>
      <c r="L58" s="25"/>
      <c r="M58" s="25"/>
      <c r="N58" s="25"/>
      <c r="O58" s="25"/>
      <c r="P58" s="25"/>
      <c r="Q58" s="25"/>
    </row>
    <row r="59" spans="2:17" x14ac:dyDescent="0.3">
      <c r="B59" s="24"/>
      <c r="C59" s="24"/>
      <c r="D59" s="62"/>
      <c r="E59" s="24"/>
      <c r="F59" s="24"/>
      <c r="G59" s="62"/>
      <c r="H59" s="24"/>
      <c r="I59" s="25"/>
      <c r="J59" s="25"/>
      <c r="K59" s="25"/>
      <c r="L59" s="25"/>
      <c r="M59" s="25"/>
      <c r="N59" s="25"/>
      <c r="O59" s="25"/>
      <c r="P59" s="25"/>
      <c r="Q59" s="25"/>
    </row>
    <row r="60" spans="2:17" x14ac:dyDescent="0.3">
      <c r="B60" s="24"/>
      <c r="C60" s="24"/>
      <c r="D60" s="62"/>
      <c r="E60" s="24"/>
      <c r="F60" s="24"/>
      <c r="G60" s="62"/>
      <c r="H60" s="24"/>
      <c r="I60" s="25"/>
      <c r="J60" s="25"/>
      <c r="K60" s="25"/>
      <c r="L60" s="25"/>
      <c r="M60" s="25"/>
      <c r="N60" s="25"/>
      <c r="O60" s="25"/>
      <c r="P60" s="25"/>
      <c r="Q60" s="25"/>
    </row>
    <row r="61" spans="2:17" x14ac:dyDescent="0.3">
      <c r="B61" s="24"/>
      <c r="C61" s="24"/>
      <c r="D61" s="62"/>
      <c r="E61" s="24"/>
      <c r="F61" s="24"/>
      <c r="G61" s="62"/>
      <c r="H61" s="24"/>
      <c r="I61" s="25"/>
      <c r="J61" s="25"/>
      <c r="K61" s="25"/>
      <c r="L61" s="25"/>
      <c r="M61" s="25"/>
      <c r="N61" s="25"/>
      <c r="O61" s="25"/>
      <c r="P61" s="25"/>
      <c r="Q61" s="25"/>
    </row>
    <row r="62" spans="2:17" x14ac:dyDescent="0.3">
      <c r="B62" s="24"/>
      <c r="C62" s="24"/>
      <c r="D62" s="62"/>
      <c r="E62" s="24"/>
      <c r="F62" s="24"/>
      <c r="G62" s="62"/>
      <c r="H62" s="24"/>
      <c r="I62" s="25"/>
      <c r="J62" s="25"/>
      <c r="K62" s="25"/>
      <c r="L62" s="25"/>
      <c r="M62" s="25"/>
      <c r="N62" s="25"/>
      <c r="O62" s="25"/>
      <c r="P62" s="25"/>
      <c r="Q62" s="25"/>
    </row>
    <row r="63" spans="2:17" x14ac:dyDescent="0.3">
      <c r="B63" s="24"/>
      <c r="C63" s="24"/>
      <c r="D63" s="62"/>
      <c r="E63" s="24"/>
      <c r="F63" s="24"/>
      <c r="G63" s="62"/>
      <c r="H63" s="24"/>
      <c r="I63" s="25"/>
      <c r="J63" s="25"/>
      <c r="K63" s="25"/>
      <c r="L63" s="25"/>
      <c r="M63" s="25"/>
      <c r="N63" s="25"/>
      <c r="O63" s="25"/>
      <c r="P63" s="25"/>
      <c r="Q63" s="25"/>
    </row>
    <row r="64" spans="2:17" x14ac:dyDescent="0.3">
      <c r="B64" s="24"/>
      <c r="C64" s="24"/>
      <c r="D64" s="62"/>
      <c r="E64" s="24"/>
      <c r="F64" s="24"/>
      <c r="G64" s="62"/>
      <c r="H64" s="24"/>
      <c r="I64" s="25"/>
      <c r="J64" s="25"/>
      <c r="K64" s="25"/>
      <c r="L64" s="25"/>
      <c r="M64" s="25"/>
      <c r="N64" s="25"/>
      <c r="O64" s="25"/>
      <c r="P64" s="25"/>
      <c r="Q64" s="25"/>
    </row>
    <row r="65" spans="2:17" x14ac:dyDescent="0.3">
      <c r="B65" s="24"/>
      <c r="C65" s="24"/>
      <c r="D65" s="62"/>
      <c r="E65" s="24"/>
      <c r="F65" s="24"/>
      <c r="G65" s="62"/>
      <c r="H65" s="24"/>
      <c r="I65" s="25"/>
      <c r="J65" s="25"/>
      <c r="K65" s="25"/>
      <c r="L65" s="25"/>
      <c r="M65" s="25"/>
      <c r="N65" s="25"/>
      <c r="O65" s="25"/>
      <c r="P65" s="25"/>
      <c r="Q65" s="25"/>
    </row>
    <row r="66" spans="2:17" x14ac:dyDescent="0.3">
      <c r="B66" s="24"/>
      <c r="C66" s="24"/>
      <c r="D66" s="62"/>
      <c r="E66" s="24"/>
      <c r="F66" s="24"/>
      <c r="G66" s="62"/>
      <c r="H66" s="24"/>
      <c r="I66" s="25"/>
      <c r="J66" s="25"/>
      <c r="K66" s="25"/>
      <c r="L66" s="25"/>
      <c r="M66" s="25"/>
      <c r="N66" s="25"/>
      <c r="O66" s="25"/>
      <c r="P66" s="25"/>
      <c r="Q66" s="25"/>
    </row>
    <row r="67" spans="2:17" x14ac:dyDescent="0.3">
      <c r="B67" s="24"/>
      <c r="C67" s="24"/>
      <c r="D67" s="62"/>
      <c r="E67" s="24"/>
      <c r="F67" s="24"/>
      <c r="G67" s="62"/>
      <c r="H67" s="24"/>
      <c r="I67" s="25"/>
      <c r="J67" s="25"/>
      <c r="K67" s="25"/>
      <c r="L67" s="25"/>
      <c r="M67" s="25"/>
      <c r="N67" s="25"/>
      <c r="O67" s="25"/>
      <c r="P67" s="25"/>
      <c r="Q67" s="25"/>
    </row>
    <row r="68" spans="2:17" x14ac:dyDescent="0.3">
      <c r="B68" s="24"/>
      <c r="C68" s="24"/>
      <c r="D68" s="62"/>
      <c r="E68" s="24"/>
      <c r="F68" s="24"/>
      <c r="G68" s="62"/>
      <c r="H68" s="24"/>
      <c r="I68" s="25"/>
      <c r="J68" s="25"/>
      <c r="K68" s="25"/>
      <c r="L68" s="25"/>
      <c r="M68" s="25"/>
      <c r="N68" s="25"/>
      <c r="O68" s="25"/>
      <c r="P68" s="25"/>
      <c r="Q68" s="25"/>
    </row>
    <row r="69" spans="2:17" x14ac:dyDescent="0.3">
      <c r="B69" s="24"/>
      <c r="C69" s="24"/>
      <c r="D69" s="62"/>
      <c r="E69" s="24"/>
      <c r="F69" s="24"/>
      <c r="G69" s="62"/>
      <c r="H69" s="24"/>
      <c r="I69" s="25"/>
      <c r="J69" s="25"/>
      <c r="K69" s="25"/>
      <c r="L69" s="25"/>
      <c r="M69" s="25"/>
      <c r="N69" s="25"/>
      <c r="O69" s="25"/>
      <c r="P69" s="25"/>
      <c r="Q69" s="25"/>
    </row>
    <row r="70" spans="2:17" x14ac:dyDescent="0.3">
      <c r="B70" s="24"/>
      <c r="C70" s="24"/>
      <c r="D70" s="62"/>
      <c r="E70" s="24"/>
      <c r="F70" s="24"/>
      <c r="G70" s="62"/>
      <c r="H70" s="24"/>
      <c r="I70" s="25"/>
      <c r="J70" s="25"/>
      <c r="K70" s="25"/>
      <c r="L70" s="25"/>
      <c r="M70" s="25"/>
      <c r="N70" s="25"/>
      <c r="O70" s="25"/>
      <c r="P70" s="25"/>
      <c r="Q70" s="25"/>
    </row>
    <row r="71" spans="2:17" x14ac:dyDescent="0.3">
      <c r="B71" s="24"/>
      <c r="C71" s="24"/>
      <c r="D71" s="62"/>
      <c r="E71" s="24"/>
      <c r="F71" s="24"/>
      <c r="G71" s="62"/>
      <c r="H71" s="24"/>
      <c r="I71" s="25"/>
      <c r="J71" s="25"/>
      <c r="K71" s="25"/>
      <c r="L71" s="25"/>
      <c r="M71" s="25"/>
      <c r="N71" s="25"/>
      <c r="O71" s="25"/>
      <c r="P71" s="25"/>
      <c r="Q71" s="25"/>
    </row>
    <row r="72" spans="2:17" x14ac:dyDescent="0.3">
      <c r="B72" s="24"/>
      <c r="C72" s="24"/>
      <c r="D72" s="62"/>
      <c r="E72" s="24"/>
      <c r="F72" s="24"/>
      <c r="G72" s="62"/>
      <c r="H72" s="24"/>
      <c r="I72" s="25"/>
      <c r="J72" s="25"/>
      <c r="K72" s="25"/>
      <c r="L72" s="25"/>
      <c r="M72" s="25"/>
      <c r="N72" s="25"/>
      <c r="O72" s="25"/>
      <c r="P72" s="25"/>
      <c r="Q72" s="25"/>
    </row>
    <row r="73" spans="2:17" x14ac:dyDescent="0.3">
      <c r="B73" s="24"/>
      <c r="C73" s="24"/>
      <c r="D73" s="62"/>
      <c r="E73" s="24"/>
      <c r="F73" s="24"/>
      <c r="G73" s="62"/>
      <c r="H73" s="24"/>
      <c r="I73" s="25"/>
      <c r="J73" s="25"/>
      <c r="K73" s="25"/>
      <c r="L73" s="25"/>
      <c r="M73" s="25"/>
      <c r="N73" s="25"/>
      <c r="O73" s="25"/>
      <c r="P73" s="25"/>
      <c r="Q73" s="25"/>
    </row>
    <row r="74" spans="2:17" x14ac:dyDescent="0.3">
      <c r="B74" s="24"/>
      <c r="C74" s="24"/>
      <c r="D74" s="62"/>
      <c r="E74" s="24"/>
      <c r="F74" s="24"/>
      <c r="G74" s="62"/>
      <c r="H74" s="24"/>
      <c r="I74" s="25"/>
      <c r="J74" s="25"/>
      <c r="K74" s="25"/>
      <c r="L74" s="25"/>
      <c r="M74" s="25"/>
      <c r="N74" s="25"/>
      <c r="O74" s="25"/>
      <c r="P74" s="25"/>
      <c r="Q74" s="25"/>
    </row>
    <row r="75" spans="2:17" x14ac:dyDescent="0.3">
      <c r="B75" s="24"/>
      <c r="C75" s="24"/>
      <c r="D75" s="62"/>
      <c r="E75" s="24"/>
      <c r="F75" s="24"/>
      <c r="G75" s="62"/>
      <c r="H75" s="24"/>
      <c r="I75" s="25"/>
      <c r="J75" s="25"/>
      <c r="K75" s="25"/>
      <c r="L75" s="25"/>
      <c r="M75" s="25"/>
      <c r="N75" s="25"/>
      <c r="O75" s="25"/>
      <c r="P75" s="25"/>
      <c r="Q75" s="25"/>
    </row>
    <row r="76" spans="2:17" x14ac:dyDescent="0.3">
      <c r="B76" s="24"/>
      <c r="C76" s="24"/>
      <c r="D76" s="62"/>
      <c r="E76" s="24"/>
      <c r="F76" s="24"/>
      <c r="G76" s="62"/>
      <c r="H76" s="24"/>
      <c r="I76" s="25"/>
      <c r="J76" s="25"/>
      <c r="K76" s="25"/>
      <c r="L76" s="25"/>
      <c r="M76" s="25"/>
      <c r="N76" s="25"/>
      <c r="O76" s="25"/>
      <c r="P76" s="25"/>
      <c r="Q76" s="25"/>
    </row>
    <row r="77" spans="2:17" x14ac:dyDescent="0.3">
      <c r="B77" s="24"/>
      <c r="C77" s="24"/>
      <c r="D77" s="62"/>
      <c r="E77" s="24"/>
      <c r="F77" s="24"/>
      <c r="G77" s="62"/>
      <c r="H77" s="24"/>
      <c r="I77" s="25"/>
      <c r="J77" s="25"/>
      <c r="K77" s="25"/>
      <c r="L77" s="25"/>
      <c r="M77" s="25"/>
      <c r="N77" s="25"/>
      <c r="O77" s="25"/>
      <c r="P77" s="25"/>
      <c r="Q77" s="25"/>
    </row>
    <row r="78" spans="2:17" x14ac:dyDescent="0.3">
      <c r="B78" s="24"/>
      <c r="C78" s="24"/>
      <c r="D78" s="62"/>
      <c r="E78" s="24"/>
      <c r="F78" s="24"/>
      <c r="G78" s="62"/>
      <c r="H78" s="24"/>
      <c r="I78" s="25"/>
      <c r="J78" s="25"/>
      <c r="K78" s="25"/>
      <c r="L78" s="25"/>
      <c r="M78" s="25"/>
      <c r="N78" s="25"/>
      <c r="O78" s="25"/>
      <c r="P78" s="25"/>
      <c r="Q78" s="25"/>
    </row>
    <row r="79" spans="2:17" x14ac:dyDescent="0.3">
      <c r="B79" s="24"/>
      <c r="C79" s="24"/>
      <c r="D79" s="62"/>
      <c r="E79" s="24"/>
      <c r="F79" s="24"/>
      <c r="G79" s="62"/>
      <c r="H79" s="24"/>
      <c r="I79" s="25"/>
      <c r="J79" s="25"/>
      <c r="K79" s="25"/>
      <c r="L79" s="25"/>
      <c r="M79" s="25"/>
      <c r="N79" s="25"/>
      <c r="O79" s="25"/>
      <c r="P79" s="25"/>
      <c r="Q79" s="25"/>
    </row>
    <row r="80" spans="2:17" x14ac:dyDescent="0.3">
      <c r="B80" s="24"/>
      <c r="C80" s="24"/>
      <c r="D80" s="62"/>
      <c r="E80" s="24"/>
      <c r="F80" s="24"/>
      <c r="G80" s="62"/>
      <c r="H80" s="24"/>
      <c r="I80" s="25"/>
      <c r="J80" s="25"/>
      <c r="K80" s="25"/>
      <c r="L80" s="25"/>
      <c r="M80" s="25"/>
      <c r="N80" s="25"/>
      <c r="O80" s="25"/>
      <c r="P80" s="25"/>
      <c r="Q80" s="25"/>
    </row>
    <row r="81" spans="2:17" x14ac:dyDescent="0.3">
      <c r="B81" s="24"/>
      <c r="C81" s="24"/>
      <c r="D81" s="62"/>
      <c r="E81" s="24"/>
      <c r="F81" s="24"/>
      <c r="G81" s="62"/>
      <c r="H81" s="24"/>
      <c r="I81" s="25"/>
      <c r="J81" s="25"/>
      <c r="K81" s="25"/>
      <c r="L81" s="25"/>
      <c r="M81" s="25"/>
      <c r="N81" s="25"/>
      <c r="O81" s="25"/>
      <c r="P81" s="25"/>
      <c r="Q81" s="25"/>
    </row>
    <row r="82" spans="2:17" x14ac:dyDescent="0.3">
      <c r="B82" s="24"/>
      <c r="C82" s="24"/>
      <c r="D82" s="62"/>
      <c r="E82" s="24"/>
      <c r="F82" s="24"/>
      <c r="G82" s="62"/>
      <c r="H82" s="24"/>
      <c r="I82" s="25"/>
      <c r="J82" s="25"/>
      <c r="K82" s="25"/>
      <c r="L82" s="25"/>
      <c r="M82" s="25"/>
      <c r="N82" s="25"/>
      <c r="O82" s="25"/>
      <c r="P82" s="25"/>
      <c r="Q82" s="25"/>
    </row>
    <row r="83" spans="2:17" x14ac:dyDescent="0.3">
      <c r="B83" s="24"/>
      <c r="C83" s="24"/>
      <c r="D83" s="62"/>
      <c r="E83" s="24"/>
      <c r="F83" s="24"/>
      <c r="G83" s="62"/>
      <c r="H83" s="24"/>
      <c r="I83" s="25"/>
      <c r="J83" s="25"/>
      <c r="K83" s="25"/>
      <c r="L83" s="25"/>
      <c r="M83" s="25"/>
      <c r="N83" s="25"/>
      <c r="O83" s="25"/>
      <c r="P83" s="25"/>
      <c r="Q83" s="25"/>
    </row>
    <row r="84" spans="2:17" x14ac:dyDescent="0.3">
      <c r="B84" s="24"/>
      <c r="C84" s="24"/>
      <c r="D84" s="62"/>
      <c r="E84" s="24"/>
      <c r="F84" s="24"/>
      <c r="G84" s="62"/>
      <c r="H84" s="24"/>
      <c r="I84" s="25"/>
      <c r="J84" s="25"/>
      <c r="K84" s="25"/>
      <c r="L84" s="25"/>
      <c r="M84" s="25"/>
      <c r="N84" s="25"/>
      <c r="O84" s="25"/>
      <c r="P84" s="25"/>
      <c r="Q84" s="25"/>
    </row>
    <row r="85" spans="2:17" x14ac:dyDescent="0.3">
      <c r="B85" s="24"/>
      <c r="C85" s="24"/>
      <c r="D85" s="62"/>
      <c r="E85" s="24"/>
      <c r="F85" s="24"/>
      <c r="G85" s="62"/>
      <c r="H85" s="24"/>
      <c r="I85" s="25"/>
      <c r="J85" s="25"/>
      <c r="K85" s="25"/>
      <c r="L85" s="25"/>
      <c r="M85" s="25"/>
      <c r="N85" s="25"/>
      <c r="O85" s="25"/>
      <c r="P85" s="25"/>
      <c r="Q85" s="25"/>
    </row>
    <row r="86" spans="2:17" x14ac:dyDescent="0.3">
      <c r="B86" s="24"/>
      <c r="C86" s="24"/>
      <c r="D86" s="62"/>
      <c r="E86" s="24"/>
      <c r="F86" s="24"/>
      <c r="G86" s="62"/>
      <c r="H86" s="24"/>
      <c r="I86" s="25"/>
      <c r="J86" s="25"/>
      <c r="K86" s="25"/>
      <c r="L86" s="25"/>
      <c r="M86" s="25"/>
      <c r="N86" s="25"/>
      <c r="O86" s="25"/>
      <c r="P86" s="25"/>
      <c r="Q86" s="25"/>
    </row>
    <row r="87" spans="2:17" x14ac:dyDescent="0.3">
      <c r="B87" s="24"/>
      <c r="C87" s="24"/>
      <c r="D87" s="62"/>
      <c r="E87" s="24"/>
      <c r="F87" s="24"/>
      <c r="G87" s="62"/>
      <c r="H87" s="24"/>
      <c r="I87" s="25"/>
      <c r="J87" s="25"/>
      <c r="K87" s="25"/>
      <c r="L87" s="25"/>
      <c r="M87" s="25"/>
      <c r="N87" s="25"/>
      <c r="O87" s="25"/>
      <c r="P87" s="25"/>
      <c r="Q87" s="25"/>
    </row>
    <row r="88" spans="2:17" x14ac:dyDescent="0.3">
      <c r="B88" s="24"/>
      <c r="C88" s="24"/>
      <c r="D88" s="62"/>
      <c r="E88" s="24"/>
      <c r="F88" s="24"/>
      <c r="G88" s="62"/>
      <c r="H88" s="24"/>
      <c r="I88" s="25"/>
      <c r="J88" s="25"/>
      <c r="K88" s="25"/>
      <c r="L88" s="25"/>
      <c r="M88" s="25"/>
      <c r="N88" s="25"/>
      <c r="O88" s="25"/>
      <c r="P88" s="25"/>
      <c r="Q88" s="25"/>
    </row>
    <row r="89" spans="2:17" x14ac:dyDescent="0.3">
      <c r="B89" s="24"/>
      <c r="C89" s="24"/>
      <c r="D89" s="62"/>
      <c r="E89" s="24"/>
      <c r="F89" s="24"/>
      <c r="G89" s="62"/>
      <c r="H89" s="24"/>
      <c r="I89" s="25"/>
      <c r="J89" s="25"/>
      <c r="K89" s="25"/>
      <c r="L89" s="25"/>
      <c r="M89" s="25"/>
      <c r="N89" s="25"/>
      <c r="O89" s="25"/>
      <c r="P89" s="25"/>
      <c r="Q89" s="25"/>
    </row>
    <row r="90" spans="2:17" x14ac:dyDescent="0.3">
      <c r="B90" s="24"/>
      <c r="C90" s="24"/>
      <c r="D90" s="62"/>
      <c r="E90" s="24"/>
      <c r="F90" s="24"/>
      <c r="G90" s="62"/>
      <c r="H90" s="24"/>
      <c r="I90" s="25"/>
      <c r="J90" s="25"/>
      <c r="K90" s="25"/>
      <c r="L90" s="25"/>
      <c r="M90" s="25"/>
      <c r="N90" s="25"/>
      <c r="O90" s="25"/>
      <c r="P90" s="25"/>
      <c r="Q90" s="25"/>
    </row>
    <row r="91" spans="2:17" x14ac:dyDescent="0.3">
      <c r="B91" s="24"/>
      <c r="C91" s="24"/>
      <c r="D91" s="62"/>
      <c r="E91" s="24"/>
      <c r="F91" s="24"/>
      <c r="G91" s="62"/>
      <c r="H91" s="24"/>
      <c r="I91" s="25"/>
      <c r="J91" s="25"/>
      <c r="K91" s="25"/>
      <c r="L91" s="25"/>
      <c r="M91" s="25"/>
      <c r="N91" s="25"/>
      <c r="O91" s="25"/>
      <c r="P91" s="25"/>
      <c r="Q91" s="25"/>
    </row>
    <row r="92" spans="2:17" x14ac:dyDescent="0.3">
      <c r="B92" s="24"/>
      <c r="C92" s="24"/>
      <c r="D92" s="62"/>
      <c r="E92" s="24"/>
      <c r="F92" s="24"/>
      <c r="G92" s="62"/>
      <c r="H92" s="24"/>
      <c r="I92" s="25"/>
      <c r="J92" s="25"/>
      <c r="K92" s="25"/>
      <c r="L92" s="25"/>
      <c r="M92" s="25"/>
      <c r="N92" s="25"/>
      <c r="O92" s="25"/>
      <c r="P92" s="25"/>
      <c r="Q92" s="25"/>
    </row>
    <row r="93" spans="2:17" x14ac:dyDescent="0.3">
      <c r="B93" s="24"/>
      <c r="C93" s="24"/>
      <c r="D93" s="62"/>
      <c r="E93" s="24"/>
      <c r="F93" s="24"/>
      <c r="G93" s="62"/>
      <c r="H93" s="24"/>
      <c r="I93" s="25"/>
      <c r="J93" s="25"/>
      <c r="K93" s="25"/>
      <c r="L93" s="25"/>
      <c r="M93" s="25"/>
      <c r="N93" s="25"/>
      <c r="O93" s="25"/>
      <c r="P93" s="25"/>
      <c r="Q93" s="25"/>
    </row>
    <row r="94" spans="2:17" x14ac:dyDescent="0.3">
      <c r="B94" s="24"/>
      <c r="C94" s="24"/>
      <c r="D94" s="62"/>
      <c r="E94" s="24"/>
      <c r="F94" s="24"/>
      <c r="G94" s="62"/>
      <c r="H94" s="24"/>
      <c r="I94" s="25"/>
      <c r="J94" s="25"/>
      <c r="K94" s="25"/>
      <c r="L94" s="25"/>
      <c r="M94" s="25"/>
      <c r="N94" s="25"/>
      <c r="O94" s="25"/>
      <c r="P94" s="25"/>
      <c r="Q94" s="25"/>
    </row>
    <row r="95" spans="2:17" x14ac:dyDescent="0.3">
      <c r="B95" s="24"/>
      <c r="C95" s="24"/>
      <c r="D95" s="62"/>
      <c r="E95" s="24"/>
      <c r="F95" s="24"/>
      <c r="G95" s="62"/>
      <c r="H95" s="24"/>
      <c r="I95" s="25"/>
      <c r="J95" s="25"/>
      <c r="K95" s="25"/>
      <c r="L95" s="25"/>
      <c r="M95" s="25"/>
      <c r="N95" s="25"/>
      <c r="O95" s="25"/>
      <c r="P95" s="25"/>
      <c r="Q95" s="25"/>
    </row>
    <row r="96" spans="2:17" x14ac:dyDescent="0.3">
      <c r="B96" s="24"/>
      <c r="C96" s="24"/>
      <c r="D96" s="62"/>
      <c r="E96" s="24"/>
      <c r="F96" s="24"/>
      <c r="G96" s="62"/>
      <c r="H96" s="24"/>
      <c r="I96" s="25"/>
      <c r="J96" s="25"/>
      <c r="K96" s="25"/>
      <c r="L96" s="25"/>
      <c r="M96" s="25"/>
      <c r="N96" s="25"/>
      <c r="O96" s="25"/>
      <c r="P96" s="25"/>
      <c r="Q96" s="25"/>
    </row>
    <row r="97" spans="2:17" x14ac:dyDescent="0.3">
      <c r="B97" s="24"/>
      <c r="C97" s="24"/>
      <c r="D97" s="62"/>
      <c r="E97" s="24"/>
      <c r="F97" s="24"/>
      <c r="G97" s="62"/>
      <c r="H97" s="24"/>
      <c r="I97" s="25"/>
      <c r="J97" s="25"/>
      <c r="K97" s="25"/>
      <c r="L97" s="25"/>
      <c r="M97" s="25"/>
      <c r="N97" s="25"/>
      <c r="O97" s="25"/>
      <c r="P97" s="25"/>
      <c r="Q97" s="25"/>
    </row>
    <row r="98" spans="2:17" x14ac:dyDescent="0.3">
      <c r="B98" s="24"/>
      <c r="C98" s="24"/>
      <c r="D98" s="62"/>
      <c r="E98" s="24"/>
      <c r="F98" s="24"/>
      <c r="G98" s="62"/>
      <c r="H98" s="24"/>
      <c r="I98" s="25"/>
      <c r="J98" s="25"/>
      <c r="K98" s="25"/>
      <c r="L98" s="25"/>
      <c r="M98" s="25"/>
      <c r="N98" s="25"/>
      <c r="O98" s="25"/>
      <c r="P98" s="25"/>
      <c r="Q98" s="25"/>
    </row>
    <row r="99" spans="2:17" x14ac:dyDescent="0.3">
      <c r="B99" s="24"/>
      <c r="C99" s="24"/>
      <c r="D99" s="62"/>
      <c r="E99" s="24"/>
      <c r="F99" s="24"/>
      <c r="G99" s="62"/>
      <c r="H99" s="24"/>
      <c r="I99" s="25"/>
      <c r="J99" s="25"/>
      <c r="K99" s="25"/>
      <c r="L99" s="25"/>
      <c r="M99" s="25"/>
      <c r="N99" s="25"/>
      <c r="O99" s="25"/>
      <c r="P99" s="25"/>
      <c r="Q99" s="25"/>
    </row>
    <row r="100" spans="2:17" x14ac:dyDescent="0.3">
      <c r="B100" s="24"/>
      <c r="C100" s="24"/>
      <c r="D100" s="62"/>
      <c r="E100" s="24"/>
      <c r="F100" s="24"/>
      <c r="G100" s="62"/>
      <c r="H100" s="24"/>
      <c r="I100" s="25"/>
      <c r="J100" s="25"/>
      <c r="K100" s="25"/>
      <c r="L100" s="25"/>
      <c r="M100" s="25"/>
      <c r="N100" s="25"/>
      <c r="O100" s="25"/>
      <c r="P100" s="25"/>
      <c r="Q100" s="25"/>
    </row>
    <row r="101" spans="2:17" x14ac:dyDescent="0.3">
      <c r="B101" s="24"/>
      <c r="C101" s="24"/>
      <c r="D101" s="62"/>
      <c r="E101" s="24"/>
      <c r="F101" s="24"/>
      <c r="G101" s="62"/>
      <c r="H101" s="24"/>
      <c r="I101" s="25"/>
      <c r="J101" s="25"/>
      <c r="K101" s="25"/>
      <c r="L101" s="25"/>
      <c r="M101" s="25"/>
      <c r="N101" s="25"/>
      <c r="O101" s="25"/>
      <c r="P101" s="25"/>
      <c r="Q101" s="25"/>
    </row>
    <row r="102" spans="2:17" x14ac:dyDescent="0.3">
      <c r="B102" s="24"/>
      <c r="C102" s="24"/>
      <c r="D102" s="62"/>
      <c r="E102" s="24"/>
      <c r="F102" s="24"/>
      <c r="G102" s="62"/>
      <c r="H102" s="24"/>
      <c r="I102" s="25"/>
      <c r="J102" s="25"/>
      <c r="K102" s="25"/>
      <c r="L102" s="25"/>
      <c r="M102" s="25"/>
      <c r="N102" s="25"/>
      <c r="O102" s="25"/>
      <c r="P102" s="25"/>
      <c r="Q102" s="25"/>
    </row>
    <row r="103" spans="2:17" x14ac:dyDescent="0.3">
      <c r="B103" s="24"/>
      <c r="C103" s="24"/>
      <c r="D103" s="62"/>
      <c r="E103" s="24"/>
      <c r="F103" s="24"/>
      <c r="G103" s="62"/>
      <c r="H103" s="24"/>
      <c r="I103" s="25"/>
      <c r="J103" s="25"/>
      <c r="K103" s="25"/>
      <c r="L103" s="25"/>
      <c r="M103" s="25"/>
      <c r="N103" s="25"/>
      <c r="O103" s="25"/>
      <c r="P103" s="25"/>
      <c r="Q103" s="25"/>
    </row>
    <row r="104" spans="2:17" x14ac:dyDescent="0.3">
      <c r="B104" s="24"/>
      <c r="C104" s="24"/>
      <c r="D104" s="62"/>
      <c r="E104" s="24"/>
      <c r="F104" s="24"/>
      <c r="G104" s="62"/>
      <c r="H104" s="24"/>
      <c r="I104" s="25"/>
      <c r="J104" s="25"/>
      <c r="K104" s="25"/>
      <c r="L104" s="25"/>
      <c r="M104" s="25"/>
      <c r="N104" s="25"/>
      <c r="O104" s="25"/>
      <c r="P104" s="25"/>
      <c r="Q104" s="25"/>
    </row>
    <row r="105" spans="2:17" x14ac:dyDescent="0.3">
      <c r="B105" s="24"/>
      <c r="C105" s="24"/>
      <c r="D105" s="62"/>
      <c r="E105" s="24"/>
      <c r="F105" s="24"/>
      <c r="G105" s="62"/>
      <c r="H105" s="24"/>
      <c r="I105" s="25"/>
      <c r="J105" s="25"/>
      <c r="K105" s="25"/>
      <c r="L105" s="25"/>
      <c r="M105" s="25"/>
      <c r="N105" s="25"/>
      <c r="O105" s="25"/>
      <c r="P105" s="25"/>
      <c r="Q105" s="25"/>
    </row>
    <row r="106" spans="2:17" x14ac:dyDescent="0.3">
      <c r="B106" s="24"/>
      <c r="C106" s="24"/>
      <c r="D106" s="62"/>
      <c r="E106" s="24"/>
      <c r="F106" s="24"/>
      <c r="G106" s="62"/>
      <c r="H106" s="24"/>
      <c r="I106" s="25"/>
      <c r="J106" s="25"/>
      <c r="K106" s="25"/>
      <c r="L106" s="25"/>
      <c r="M106" s="25"/>
      <c r="N106" s="25"/>
      <c r="O106" s="25"/>
      <c r="P106" s="25"/>
      <c r="Q106" s="25"/>
    </row>
    <row r="107" spans="2:17" x14ac:dyDescent="0.3">
      <c r="B107" s="24"/>
      <c r="C107" s="24"/>
      <c r="D107" s="62"/>
      <c r="E107" s="24"/>
      <c r="F107" s="24"/>
      <c r="G107" s="62"/>
      <c r="H107" s="24"/>
      <c r="I107" s="25"/>
      <c r="J107" s="25"/>
      <c r="K107" s="25"/>
      <c r="L107" s="25"/>
      <c r="M107" s="25"/>
      <c r="N107" s="25"/>
      <c r="O107" s="25"/>
      <c r="P107" s="25"/>
      <c r="Q107" s="25"/>
    </row>
    <row r="108" spans="2:17" x14ac:dyDescent="0.3">
      <c r="B108" s="24"/>
      <c r="C108" s="24"/>
      <c r="D108" s="62"/>
      <c r="E108" s="24"/>
      <c r="F108" s="24"/>
      <c r="G108" s="62"/>
      <c r="H108" s="24"/>
      <c r="I108" s="25"/>
      <c r="J108" s="25"/>
      <c r="K108" s="25"/>
      <c r="L108" s="25"/>
      <c r="M108" s="25"/>
      <c r="N108" s="25"/>
      <c r="O108" s="25"/>
      <c r="P108" s="25"/>
      <c r="Q108" s="25"/>
    </row>
    <row r="109" spans="2:17" x14ac:dyDescent="0.3">
      <c r="B109" s="24"/>
      <c r="C109" s="24"/>
      <c r="D109" s="62"/>
      <c r="E109" s="24"/>
      <c r="F109" s="24"/>
      <c r="G109" s="62"/>
      <c r="H109" s="24"/>
      <c r="I109" s="25"/>
      <c r="J109" s="25"/>
      <c r="K109" s="25"/>
      <c r="L109" s="25"/>
      <c r="M109" s="25"/>
      <c r="N109" s="25"/>
      <c r="O109" s="25"/>
      <c r="P109" s="25"/>
      <c r="Q109" s="25"/>
    </row>
    <row r="110" spans="2:17" x14ac:dyDescent="0.3">
      <c r="B110" s="24"/>
      <c r="C110" s="24"/>
      <c r="D110" s="62"/>
      <c r="E110" s="24"/>
      <c r="F110" s="24"/>
      <c r="G110" s="62"/>
      <c r="H110" s="24"/>
      <c r="I110" s="25"/>
      <c r="J110" s="25"/>
      <c r="K110" s="25"/>
      <c r="L110" s="25"/>
      <c r="M110" s="25"/>
      <c r="N110" s="25"/>
      <c r="O110" s="25"/>
      <c r="P110" s="25"/>
      <c r="Q110" s="25"/>
    </row>
    <row r="111" spans="2:17" x14ac:dyDescent="0.3">
      <c r="B111" s="24"/>
      <c r="C111" s="24"/>
      <c r="D111" s="62"/>
      <c r="E111" s="24"/>
      <c r="F111" s="24"/>
      <c r="G111" s="62"/>
      <c r="H111" s="24"/>
      <c r="I111" s="25"/>
      <c r="J111" s="25"/>
      <c r="K111" s="25"/>
      <c r="L111" s="25"/>
      <c r="M111" s="25"/>
      <c r="N111" s="25"/>
      <c r="O111" s="25"/>
      <c r="P111" s="25"/>
      <c r="Q111" s="25"/>
    </row>
    <row r="112" spans="2:17" x14ac:dyDescent="0.3">
      <c r="B112" s="24"/>
      <c r="C112" s="24"/>
      <c r="D112" s="62"/>
      <c r="E112" s="24"/>
      <c r="F112" s="24"/>
      <c r="G112" s="62"/>
      <c r="H112" s="24"/>
      <c r="I112" s="25"/>
      <c r="J112" s="25"/>
      <c r="K112" s="25"/>
      <c r="L112" s="25"/>
      <c r="M112" s="25"/>
      <c r="N112" s="25"/>
      <c r="O112" s="25"/>
      <c r="P112" s="25"/>
      <c r="Q112" s="25"/>
    </row>
    <row r="113" spans="2:17" x14ac:dyDescent="0.3">
      <c r="B113" s="24"/>
      <c r="C113" s="24"/>
      <c r="D113" s="62"/>
      <c r="E113" s="24"/>
      <c r="F113" s="24"/>
      <c r="G113" s="62"/>
      <c r="H113" s="24"/>
      <c r="I113" s="25"/>
      <c r="J113" s="25"/>
      <c r="K113" s="25"/>
      <c r="L113" s="25"/>
      <c r="M113" s="25"/>
      <c r="N113" s="25"/>
      <c r="O113" s="25"/>
      <c r="P113" s="25"/>
      <c r="Q113" s="25"/>
    </row>
    <row r="114" spans="2:17" x14ac:dyDescent="0.3">
      <c r="B114" s="24"/>
      <c r="C114" s="24"/>
      <c r="D114" s="62"/>
      <c r="E114" s="24"/>
      <c r="F114" s="24"/>
      <c r="G114" s="62"/>
      <c r="H114" s="24"/>
      <c r="I114" s="25"/>
      <c r="J114" s="25"/>
      <c r="K114" s="25"/>
      <c r="L114" s="25"/>
      <c r="M114" s="25"/>
      <c r="N114" s="25"/>
      <c r="O114" s="25"/>
      <c r="P114" s="25"/>
      <c r="Q114" s="25"/>
    </row>
    <row r="115" spans="2:17" x14ac:dyDescent="0.3">
      <c r="B115" s="24"/>
      <c r="C115" s="24"/>
      <c r="D115" s="62"/>
      <c r="E115" s="24"/>
      <c r="F115" s="24"/>
      <c r="G115" s="62"/>
      <c r="H115" s="24"/>
      <c r="I115" s="25"/>
      <c r="J115" s="25"/>
      <c r="K115" s="25"/>
      <c r="L115" s="25"/>
      <c r="M115" s="25"/>
      <c r="N115" s="25"/>
      <c r="O115" s="25"/>
      <c r="P115" s="25"/>
      <c r="Q115" s="25"/>
    </row>
    <row r="116" spans="2:17" x14ac:dyDescent="0.3">
      <c r="B116" s="24"/>
      <c r="C116" s="24"/>
      <c r="D116" s="62"/>
      <c r="E116" s="24"/>
      <c r="F116" s="24"/>
      <c r="G116" s="62"/>
      <c r="H116" s="24"/>
      <c r="I116" s="25"/>
      <c r="J116" s="25"/>
      <c r="K116" s="25"/>
      <c r="L116" s="25"/>
      <c r="M116" s="25"/>
      <c r="N116" s="25"/>
      <c r="O116" s="25"/>
      <c r="P116" s="25"/>
      <c r="Q116" s="25"/>
    </row>
    <row r="117" spans="2:17" x14ac:dyDescent="0.3">
      <c r="B117" s="24"/>
      <c r="C117" s="24"/>
      <c r="D117" s="62"/>
      <c r="E117" s="24"/>
      <c r="F117" s="24"/>
      <c r="G117" s="62"/>
      <c r="H117" s="24"/>
      <c r="I117" s="25"/>
      <c r="J117" s="25"/>
      <c r="K117" s="25"/>
      <c r="L117" s="25"/>
      <c r="M117" s="25"/>
      <c r="N117" s="25"/>
      <c r="O117" s="25"/>
      <c r="P117" s="25"/>
      <c r="Q117" s="25"/>
    </row>
    <row r="118" spans="2:17" x14ac:dyDescent="0.3">
      <c r="B118" s="24"/>
      <c r="C118" s="24"/>
      <c r="D118" s="62"/>
      <c r="E118" s="24"/>
      <c r="F118" s="24"/>
      <c r="G118" s="62"/>
      <c r="H118" s="24"/>
      <c r="I118" s="25"/>
      <c r="J118" s="25"/>
      <c r="K118" s="25"/>
      <c r="L118" s="25"/>
      <c r="M118" s="25"/>
      <c r="N118" s="25"/>
      <c r="O118" s="25"/>
      <c r="P118" s="25"/>
      <c r="Q118" s="25"/>
    </row>
    <row r="119" spans="2:17" x14ac:dyDescent="0.3">
      <c r="B119" s="24"/>
      <c r="C119" s="24"/>
      <c r="D119" s="62"/>
      <c r="E119" s="24"/>
      <c r="F119" s="24"/>
      <c r="G119" s="62"/>
      <c r="H119" s="24"/>
      <c r="I119" s="25"/>
      <c r="J119" s="25"/>
      <c r="K119" s="25"/>
      <c r="L119" s="25"/>
      <c r="M119" s="25"/>
      <c r="N119" s="25"/>
      <c r="O119" s="25"/>
      <c r="P119" s="25"/>
      <c r="Q119" s="25"/>
    </row>
    <row r="120" spans="2:17" x14ac:dyDescent="0.3">
      <c r="B120" s="24"/>
      <c r="C120" s="24"/>
      <c r="D120" s="62"/>
      <c r="E120" s="24"/>
      <c r="F120" s="24"/>
      <c r="G120" s="62"/>
      <c r="H120" s="24"/>
      <c r="I120" s="25"/>
      <c r="J120" s="25"/>
      <c r="K120" s="25"/>
      <c r="L120" s="25"/>
      <c r="M120" s="25"/>
      <c r="N120" s="25"/>
      <c r="O120" s="25"/>
      <c r="P120" s="25"/>
      <c r="Q120" s="25"/>
    </row>
    <row r="121" spans="2:17" x14ac:dyDescent="0.3">
      <c r="B121" s="24"/>
      <c r="C121" s="24"/>
      <c r="D121" s="62"/>
      <c r="E121" s="24"/>
      <c r="F121" s="24"/>
      <c r="G121" s="62"/>
      <c r="H121" s="24"/>
      <c r="I121" s="25"/>
      <c r="J121" s="25"/>
      <c r="K121" s="25"/>
      <c r="L121" s="25"/>
      <c r="M121" s="25"/>
      <c r="N121" s="25"/>
      <c r="O121" s="25"/>
      <c r="P121" s="25"/>
      <c r="Q121" s="25"/>
    </row>
    <row r="122" spans="2:17" x14ac:dyDescent="0.3">
      <c r="B122" s="24"/>
      <c r="C122" s="24"/>
      <c r="D122" s="62"/>
      <c r="E122" s="24"/>
      <c r="F122" s="24"/>
      <c r="G122" s="62"/>
      <c r="H122" s="24"/>
      <c r="I122" s="25"/>
      <c r="J122" s="25"/>
      <c r="K122" s="25"/>
      <c r="L122" s="25"/>
      <c r="M122" s="25"/>
      <c r="N122" s="25"/>
      <c r="O122" s="25"/>
      <c r="P122" s="25"/>
      <c r="Q122" s="25"/>
    </row>
    <row r="123" spans="2:17" x14ac:dyDescent="0.3">
      <c r="B123" s="24"/>
      <c r="C123" s="24"/>
      <c r="D123" s="62"/>
      <c r="E123" s="24"/>
      <c r="F123" s="24"/>
      <c r="G123" s="62"/>
      <c r="H123" s="24"/>
      <c r="I123" s="25"/>
      <c r="J123" s="25"/>
      <c r="K123" s="25"/>
      <c r="L123" s="25"/>
      <c r="M123" s="25"/>
      <c r="N123" s="25"/>
      <c r="O123" s="25"/>
      <c r="P123" s="25"/>
      <c r="Q123" s="25"/>
    </row>
    <row r="124" spans="2:17" x14ac:dyDescent="0.3">
      <c r="B124" s="24"/>
      <c r="C124" s="24"/>
      <c r="D124" s="62"/>
      <c r="E124" s="24"/>
      <c r="F124" s="24"/>
      <c r="G124" s="62"/>
      <c r="H124" s="24"/>
      <c r="I124" s="25"/>
      <c r="J124" s="25"/>
      <c r="K124" s="25"/>
      <c r="L124" s="25"/>
      <c r="M124" s="25"/>
      <c r="N124" s="25"/>
      <c r="O124" s="25"/>
      <c r="P124" s="25"/>
      <c r="Q124" s="25"/>
    </row>
    <row r="125" spans="2:17" x14ac:dyDescent="0.3">
      <c r="B125" s="24"/>
      <c r="C125" s="24"/>
      <c r="D125" s="62"/>
      <c r="E125" s="24"/>
      <c r="F125" s="24"/>
      <c r="G125" s="62"/>
      <c r="H125" s="24"/>
      <c r="I125" s="25"/>
      <c r="J125" s="25"/>
      <c r="K125" s="25"/>
      <c r="L125" s="25"/>
      <c r="M125" s="25"/>
      <c r="N125" s="25"/>
      <c r="O125" s="25"/>
      <c r="P125" s="25"/>
      <c r="Q125" s="25"/>
    </row>
    <row r="126" spans="2:17" x14ac:dyDescent="0.3">
      <c r="B126" s="24"/>
      <c r="C126" s="24"/>
      <c r="D126" s="62"/>
      <c r="E126" s="24"/>
      <c r="F126" s="24"/>
      <c r="G126" s="62"/>
      <c r="H126" s="24"/>
      <c r="I126" s="25"/>
      <c r="J126" s="25"/>
      <c r="K126" s="25"/>
      <c r="L126" s="25"/>
      <c r="M126" s="25"/>
      <c r="N126" s="25"/>
      <c r="O126" s="25"/>
      <c r="P126" s="25"/>
      <c r="Q126" s="25"/>
    </row>
    <row r="127" spans="2:17" x14ac:dyDescent="0.3">
      <c r="B127" s="24"/>
      <c r="C127" s="24"/>
      <c r="D127" s="62"/>
      <c r="E127" s="24"/>
      <c r="F127" s="24"/>
      <c r="G127" s="62"/>
      <c r="H127" s="24"/>
      <c r="I127" s="25"/>
      <c r="J127" s="25"/>
      <c r="K127" s="25"/>
      <c r="L127" s="25"/>
      <c r="M127" s="25"/>
      <c r="N127" s="25"/>
      <c r="O127" s="25"/>
      <c r="P127" s="25"/>
      <c r="Q127" s="25"/>
    </row>
    <row r="128" spans="2:17" x14ac:dyDescent="0.3">
      <c r="B128" s="24"/>
      <c r="C128" s="24"/>
      <c r="D128" s="62"/>
      <c r="E128" s="24"/>
      <c r="F128" s="24"/>
      <c r="G128" s="62"/>
      <c r="H128" s="24"/>
      <c r="I128" s="25"/>
      <c r="J128" s="25"/>
      <c r="K128" s="25"/>
      <c r="L128" s="25"/>
      <c r="M128" s="25"/>
      <c r="N128" s="25"/>
      <c r="O128" s="25"/>
      <c r="P128" s="25"/>
      <c r="Q128" s="25"/>
    </row>
    <row r="129" spans="2:17" x14ac:dyDescent="0.3">
      <c r="B129" s="24"/>
      <c r="C129" s="24"/>
      <c r="D129" s="62"/>
      <c r="E129" s="24"/>
      <c r="F129" s="24"/>
      <c r="G129" s="62"/>
      <c r="H129" s="24"/>
      <c r="I129" s="25"/>
      <c r="J129" s="25"/>
      <c r="K129" s="25"/>
      <c r="L129" s="25"/>
      <c r="M129" s="25"/>
      <c r="N129" s="25"/>
      <c r="O129" s="25"/>
      <c r="P129" s="25"/>
      <c r="Q129" s="25"/>
    </row>
    <row r="130" spans="2:17" x14ac:dyDescent="0.3">
      <c r="B130" s="24"/>
      <c r="C130" s="24"/>
      <c r="D130" s="62"/>
      <c r="E130" s="24"/>
      <c r="F130" s="24"/>
      <c r="G130" s="62"/>
      <c r="H130" s="24"/>
      <c r="I130" s="25"/>
      <c r="J130" s="25"/>
      <c r="K130" s="25"/>
      <c r="L130" s="25"/>
      <c r="M130" s="25"/>
      <c r="N130" s="25"/>
      <c r="O130" s="25"/>
      <c r="P130" s="25"/>
      <c r="Q130" s="25"/>
    </row>
    <row r="131" spans="2:17" x14ac:dyDescent="0.3">
      <c r="B131" s="24"/>
      <c r="C131" s="24"/>
      <c r="D131" s="62"/>
      <c r="E131" s="24"/>
      <c r="F131" s="24"/>
      <c r="G131" s="62"/>
      <c r="H131" s="24"/>
      <c r="I131" s="25"/>
      <c r="J131" s="25"/>
      <c r="K131" s="25"/>
      <c r="L131" s="25"/>
      <c r="M131" s="25"/>
      <c r="N131" s="25"/>
      <c r="O131" s="25"/>
      <c r="P131" s="25"/>
      <c r="Q131" s="25"/>
    </row>
    <row r="132" spans="2:17" x14ac:dyDescent="0.3">
      <c r="B132" s="24"/>
      <c r="C132" s="24"/>
      <c r="D132" s="62"/>
      <c r="E132" s="24"/>
      <c r="F132" s="24"/>
      <c r="G132" s="62"/>
      <c r="H132" s="24"/>
      <c r="I132" s="25"/>
      <c r="J132" s="25"/>
      <c r="K132" s="25"/>
      <c r="L132" s="25"/>
      <c r="M132" s="25"/>
      <c r="N132" s="25"/>
      <c r="O132" s="25"/>
      <c r="P132" s="25"/>
      <c r="Q132" s="25"/>
    </row>
    <row r="133" spans="2:17" x14ac:dyDescent="0.3">
      <c r="B133" s="24"/>
      <c r="C133" s="24"/>
      <c r="D133" s="62"/>
      <c r="E133" s="24"/>
      <c r="F133" s="24"/>
      <c r="G133" s="62"/>
      <c r="H133" s="24"/>
      <c r="I133" s="25"/>
      <c r="J133" s="25"/>
      <c r="K133" s="25"/>
      <c r="L133" s="25"/>
      <c r="M133" s="25"/>
      <c r="N133" s="25"/>
      <c r="O133" s="25"/>
      <c r="P133" s="25"/>
      <c r="Q133" s="25"/>
    </row>
    <row r="134" spans="2:17" x14ac:dyDescent="0.3">
      <c r="B134" s="24"/>
      <c r="C134" s="24"/>
      <c r="D134" s="62"/>
      <c r="E134" s="24"/>
      <c r="F134" s="24"/>
      <c r="G134" s="62"/>
      <c r="H134" s="24"/>
      <c r="I134" s="25"/>
      <c r="J134" s="25"/>
      <c r="K134" s="25"/>
      <c r="L134" s="25"/>
      <c r="M134" s="25"/>
      <c r="N134" s="25"/>
      <c r="O134" s="25"/>
      <c r="P134" s="25"/>
      <c r="Q134" s="25"/>
    </row>
    <row r="135" spans="2:17" x14ac:dyDescent="0.3">
      <c r="B135" s="24"/>
      <c r="C135" s="24"/>
      <c r="D135" s="62"/>
      <c r="E135" s="24"/>
      <c r="F135" s="24"/>
      <c r="G135" s="62"/>
      <c r="H135" s="24"/>
      <c r="I135" s="25"/>
      <c r="J135" s="25"/>
      <c r="K135" s="25"/>
      <c r="L135" s="25"/>
      <c r="M135" s="25"/>
      <c r="N135" s="25"/>
      <c r="O135" s="25"/>
      <c r="P135" s="25"/>
      <c r="Q135" s="25"/>
    </row>
    <row r="136" spans="2:17" x14ac:dyDescent="0.3">
      <c r="B136" s="24"/>
      <c r="C136" s="24"/>
      <c r="D136" s="62"/>
      <c r="E136" s="24"/>
      <c r="F136" s="24"/>
      <c r="G136" s="62"/>
      <c r="H136" s="24"/>
      <c r="I136" s="25"/>
      <c r="J136" s="25"/>
      <c r="K136" s="25"/>
      <c r="L136" s="25"/>
      <c r="M136" s="25"/>
      <c r="N136" s="25"/>
      <c r="O136" s="25"/>
      <c r="P136" s="25"/>
      <c r="Q136" s="25"/>
    </row>
    <row r="137" spans="2:17" x14ac:dyDescent="0.3">
      <c r="B137" s="24"/>
      <c r="C137" s="24"/>
      <c r="D137" s="62"/>
      <c r="E137" s="24"/>
      <c r="F137" s="24"/>
      <c r="G137" s="62"/>
      <c r="H137" s="24"/>
      <c r="I137" s="25"/>
      <c r="J137" s="25"/>
      <c r="K137" s="25"/>
      <c r="L137" s="25"/>
      <c r="M137" s="25"/>
      <c r="N137" s="25"/>
      <c r="O137" s="25"/>
      <c r="P137" s="25"/>
      <c r="Q137" s="25"/>
    </row>
    <row r="138" spans="2:17" x14ac:dyDescent="0.3">
      <c r="B138" s="24"/>
      <c r="C138" s="24"/>
      <c r="D138" s="62"/>
      <c r="E138" s="24"/>
      <c r="F138" s="24"/>
      <c r="G138" s="62"/>
      <c r="H138" s="24"/>
      <c r="I138" s="25"/>
      <c r="J138" s="25"/>
      <c r="K138" s="25"/>
      <c r="L138" s="25"/>
      <c r="M138" s="25"/>
      <c r="N138" s="25"/>
      <c r="O138" s="25"/>
      <c r="P138" s="25"/>
      <c r="Q138" s="25"/>
    </row>
    <row r="139" spans="2:17" x14ac:dyDescent="0.3">
      <c r="B139" s="24"/>
      <c r="C139" s="24"/>
      <c r="D139" s="62"/>
      <c r="E139" s="24"/>
      <c r="F139" s="24"/>
      <c r="G139" s="62"/>
      <c r="H139" s="24"/>
      <c r="I139" s="25"/>
      <c r="J139" s="25"/>
      <c r="K139" s="25"/>
      <c r="L139" s="25"/>
      <c r="M139" s="25"/>
      <c r="N139" s="25"/>
      <c r="O139" s="25"/>
      <c r="P139" s="25"/>
      <c r="Q139" s="25"/>
    </row>
    <row r="140" spans="2:17" x14ac:dyDescent="0.3">
      <c r="B140" s="24"/>
      <c r="C140" s="24"/>
      <c r="D140" s="62"/>
      <c r="E140" s="24"/>
      <c r="F140" s="24"/>
      <c r="G140" s="62"/>
      <c r="H140" s="24"/>
      <c r="I140" s="25"/>
      <c r="J140" s="25"/>
      <c r="K140" s="25"/>
      <c r="L140" s="25"/>
      <c r="M140" s="25"/>
      <c r="N140" s="25"/>
      <c r="O140" s="25"/>
      <c r="P140" s="25"/>
      <c r="Q140" s="25"/>
    </row>
    <row r="141" spans="2:17" x14ac:dyDescent="0.3">
      <c r="B141" s="24"/>
      <c r="C141" s="24"/>
      <c r="D141" s="62"/>
      <c r="E141" s="24"/>
      <c r="F141" s="24"/>
      <c r="G141" s="62"/>
      <c r="H141" s="24"/>
      <c r="I141" s="25"/>
      <c r="J141" s="25"/>
      <c r="K141" s="25"/>
      <c r="L141" s="25"/>
      <c r="M141" s="25"/>
      <c r="N141" s="25"/>
      <c r="O141" s="25"/>
      <c r="P141" s="25"/>
      <c r="Q141" s="25"/>
    </row>
    <row r="142" spans="2:17" x14ac:dyDescent="0.3">
      <c r="B142" s="24"/>
      <c r="C142" s="24"/>
      <c r="D142" s="62"/>
      <c r="E142" s="24"/>
      <c r="F142" s="24"/>
      <c r="G142" s="62"/>
      <c r="H142" s="24"/>
      <c r="I142" s="25"/>
      <c r="J142" s="25"/>
      <c r="K142" s="25"/>
      <c r="L142" s="25"/>
      <c r="M142" s="25"/>
      <c r="N142" s="25"/>
      <c r="O142" s="25"/>
      <c r="P142" s="25"/>
      <c r="Q142" s="25"/>
    </row>
    <row r="143" spans="2:17" x14ac:dyDescent="0.3">
      <c r="B143" s="24"/>
      <c r="C143" s="24"/>
      <c r="D143" s="62"/>
      <c r="E143" s="24"/>
      <c r="F143" s="24"/>
      <c r="G143" s="62"/>
      <c r="H143" s="24"/>
      <c r="I143" s="25"/>
      <c r="J143" s="25"/>
      <c r="K143" s="25"/>
      <c r="L143" s="25"/>
      <c r="M143" s="25"/>
      <c r="N143" s="25"/>
      <c r="O143" s="25"/>
      <c r="P143" s="25"/>
      <c r="Q143" s="25"/>
    </row>
    <row r="144" spans="2:17" x14ac:dyDescent="0.3">
      <c r="B144" s="24"/>
      <c r="C144" s="24"/>
      <c r="D144" s="62"/>
      <c r="E144" s="24"/>
      <c r="F144" s="24"/>
      <c r="G144" s="62"/>
      <c r="H144" s="24"/>
      <c r="I144" s="25"/>
      <c r="J144" s="25"/>
      <c r="K144" s="25"/>
      <c r="L144" s="25"/>
      <c r="M144" s="25"/>
      <c r="N144" s="25"/>
      <c r="O144" s="25"/>
      <c r="P144" s="25"/>
      <c r="Q144" s="25"/>
    </row>
    <row r="145" spans="2:17" x14ac:dyDescent="0.3">
      <c r="B145" s="24"/>
      <c r="C145" s="24"/>
      <c r="D145" s="62"/>
      <c r="E145" s="24"/>
      <c r="F145" s="24"/>
      <c r="G145" s="62"/>
      <c r="H145" s="24"/>
      <c r="I145" s="25"/>
      <c r="J145" s="25"/>
      <c r="K145" s="25"/>
      <c r="L145" s="25"/>
      <c r="M145" s="25"/>
      <c r="N145" s="25"/>
      <c r="O145" s="25"/>
      <c r="P145" s="25"/>
      <c r="Q145" s="25"/>
    </row>
    <row r="146" spans="2:17" x14ac:dyDescent="0.3">
      <c r="B146" s="24"/>
      <c r="C146" s="24"/>
      <c r="D146" s="62"/>
      <c r="E146" s="24"/>
      <c r="F146" s="24"/>
      <c r="G146" s="62"/>
      <c r="H146" s="24"/>
      <c r="I146" s="25"/>
      <c r="J146" s="25"/>
      <c r="K146" s="25"/>
      <c r="L146" s="25"/>
      <c r="M146" s="25"/>
      <c r="N146" s="25"/>
      <c r="O146" s="25"/>
      <c r="P146" s="25"/>
      <c r="Q146" s="25"/>
    </row>
    <row r="147" spans="2:17" x14ac:dyDescent="0.3">
      <c r="B147" s="24"/>
      <c r="C147" s="24"/>
      <c r="D147" s="62"/>
      <c r="E147" s="24"/>
      <c r="F147" s="24"/>
      <c r="G147" s="62"/>
      <c r="H147" s="24"/>
      <c r="I147" s="25"/>
      <c r="J147" s="25"/>
      <c r="K147" s="25"/>
      <c r="L147" s="25"/>
      <c r="M147" s="25"/>
      <c r="N147" s="25"/>
      <c r="O147" s="25"/>
      <c r="P147" s="25"/>
      <c r="Q147" s="25"/>
    </row>
    <row r="148" spans="2:17" x14ac:dyDescent="0.3">
      <c r="B148" s="24"/>
      <c r="C148" s="24"/>
      <c r="D148" s="62"/>
      <c r="E148" s="24"/>
      <c r="F148" s="24"/>
      <c r="G148" s="62"/>
      <c r="H148" s="24"/>
      <c r="I148" s="25"/>
      <c r="J148" s="25"/>
      <c r="K148" s="25"/>
      <c r="L148" s="25"/>
      <c r="M148" s="25"/>
      <c r="N148" s="25"/>
      <c r="O148" s="25"/>
      <c r="P148" s="25"/>
      <c r="Q148" s="25"/>
    </row>
    <row r="149" spans="2:17" x14ac:dyDescent="0.3">
      <c r="B149" s="24"/>
      <c r="C149" s="24"/>
      <c r="D149" s="62"/>
      <c r="E149" s="24"/>
      <c r="F149" s="24"/>
      <c r="G149" s="62"/>
      <c r="H149" s="24"/>
      <c r="I149" s="25"/>
      <c r="J149" s="25"/>
      <c r="K149" s="25"/>
      <c r="L149" s="25"/>
      <c r="M149" s="25"/>
      <c r="N149" s="25"/>
      <c r="O149" s="25"/>
      <c r="P149" s="25"/>
      <c r="Q149" s="25"/>
    </row>
    <row r="150" spans="2:17" x14ac:dyDescent="0.3">
      <c r="B150" s="24"/>
      <c r="C150" s="24"/>
      <c r="D150" s="62"/>
      <c r="E150" s="24"/>
      <c r="F150" s="24"/>
      <c r="G150" s="62"/>
      <c r="H150" s="24"/>
      <c r="I150" s="25"/>
      <c r="J150" s="25"/>
      <c r="K150" s="25"/>
      <c r="L150" s="25"/>
      <c r="M150" s="25"/>
      <c r="N150" s="25"/>
      <c r="O150" s="25"/>
      <c r="P150" s="25"/>
      <c r="Q150" s="25"/>
    </row>
    <row r="151" spans="2:17" x14ac:dyDescent="0.3">
      <c r="B151" s="24"/>
      <c r="C151" s="24"/>
      <c r="D151" s="62"/>
      <c r="E151" s="24"/>
      <c r="F151" s="24"/>
      <c r="G151" s="62"/>
      <c r="H151" s="24"/>
      <c r="I151" s="25"/>
      <c r="J151" s="25"/>
      <c r="K151" s="25"/>
      <c r="L151" s="25"/>
      <c r="M151" s="25"/>
      <c r="N151" s="25"/>
      <c r="O151" s="25"/>
      <c r="P151" s="25"/>
      <c r="Q151" s="25"/>
    </row>
    <row r="152" spans="2:17" x14ac:dyDescent="0.3">
      <c r="B152" s="24"/>
      <c r="C152" s="24"/>
      <c r="D152" s="62"/>
      <c r="E152" s="24"/>
      <c r="F152" s="24"/>
      <c r="G152" s="62"/>
      <c r="H152" s="24"/>
      <c r="I152" s="25"/>
      <c r="J152" s="25"/>
      <c r="K152" s="25"/>
      <c r="L152" s="25"/>
      <c r="M152" s="25"/>
      <c r="N152" s="25"/>
      <c r="O152" s="25"/>
      <c r="P152" s="25"/>
      <c r="Q152" s="25"/>
    </row>
    <row r="153" spans="2:17" x14ac:dyDescent="0.3">
      <c r="B153" s="24"/>
      <c r="C153" s="24"/>
      <c r="D153" s="62"/>
      <c r="E153" s="24"/>
      <c r="F153" s="24"/>
      <c r="G153" s="62"/>
      <c r="H153" s="24"/>
      <c r="I153" s="25"/>
      <c r="J153" s="25"/>
      <c r="K153" s="25"/>
      <c r="L153" s="25"/>
      <c r="M153" s="25"/>
      <c r="N153" s="25"/>
      <c r="O153" s="25"/>
      <c r="P153" s="25"/>
      <c r="Q153" s="25"/>
    </row>
    <row r="154" spans="2:17" x14ac:dyDescent="0.3">
      <c r="B154" s="24"/>
      <c r="C154" s="24"/>
      <c r="D154" s="62"/>
      <c r="E154" s="24"/>
      <c r="F154" s="24"/>
      <c r="G154" s="62"/>
      <c r="H154" s="24"/>
      <c r="I154" s="25"/>
      <c r="J154" s="25"/>
      <c r="K154" s="25"/>
      <c r="L154" s="25"/>
      <c r="M154" s="25"/>
      <c r="N154" s="25"/>
      <c r="O154" s="25"/>
      <c r="P154" s="25"/>
      <c r="Q154" s="25"/>
    </row>
    <row r="155" spans="2:17" x14ac:dyDescent="0.3">
      <c r="B155" s="24"/>
      <c r="C155" s="24"/>
      <c r="D155" s="62"/>
      <c r="E155" s="24"/>
      <c r="F155" s="24"/>
      <c r="G155" s="62"/>
      <c r="H155" s="24"/>
      <c r="I155" s="25"/>
      <c r="J155" s="25"/>
      <c r="K155" s="25"/>
      <c r="L155" s="25"/>
      <c r="M155" s="25"/>
      <c r="N155" s="25"/>
      <c r="O155" s="25"/>
      <c r="P155" s="25"/>
      <c r="Q155" s="25"/>
    </row>
    <row r="156" spans="2:17" x14ac:dyDescent="0.3">
      <c r="B156" s="24"/>
      <c r="C156" s="24"/>
      <c r="D156" s="62"/>
      <c r="E156" s="24"/>
      <c r="F156" s="24"/>
      <c r="G156" s="62"/>
      <c r="H156" s="24"/>
      <c r="I156" s="25"/>
      <c r="J156" s="25"/>
      <c r="K156" s="25"/>
      <c r="L156" s="25"/>
      <c r="M156" s="25"/>
      <c r="N156" s="25"/>
      <c r="O156" s="25"/>
      <c r="P156" s="25"/>
      <c r="Q156" s="25"/>
    </row>
    <row r="157" spans="2:17" x14ac:dyDescent="0.3">
      <c r="B157" s="24"/>
      <c r="C157" s="24"/>
      <c r="D157" s="62"/>
      <c r="E157" s="24"/>
      <c r="F157" s="24"/>
      <c r="G157" s="62"/>
      <c r="H157" s="24"/>
      <c r="I157" s="25"/>
      <c r="J157" s="25"/>
      <c r="K157" s="25"/>
      <c r="L157" s="25"/>
      <c r="M157" s="25"/>
      <c r="N157" s="25"/>
      <c r="O157" s="25"/>
      <c r="P157" s="25"/>
      <c r="Q157" s="25"/>
    </row>
    <row r="158" spans="2:17" x14ac:dyDescent="0.3">
      <c r="B158" s="24"/>
      <c r="C158" s="24"/>
      <c r="D158" s="62"/>
      <c r="E158" s="24"/>
      <c r="F158" s="24"/>
      <c r="G158" s="62"/>
      <c r="H158" s="24"/>
      <c r="I158" s="25"/>
      <c r="J158" s="25"/>
      <c r="K158" s="25"/>
      <c r="L158" s="25"/>
      <c r="M158" s="25"/>
      <c r="N158" s="25"/>
      <c r="O158" s="25"/>
      <c r="P158" s="25"/>
      <c r="Q158" s="25"/>
    </row>
    <row r="159" spans="2:17" x14ac:dyDescent="0.3">
      <c r="B159" s="24"/>
      <c r="C159" s="24"/>
      <c r="D159" s="62"/>
      <c r="E159" s="24"/>
      <c r="F159" s="24"/>
      <c r="G159" s="62"/>
      <c r="H159" s="24"/>
      <c r="I159" s="25"/>
      <c r="J159" s="25"/>
      <c r="K159" s="25"/>
      <c r="L159" s="25"/>
      <c r="M159" s="25"/>
      <c r="N159" s="25"/>
      <c r="O159" s="25"/>
      <c r="P159" s="25"/>
      <c r="Q159" s="25"/>
    </row>
    <row r="160" spans="2:17" x14ac:dyDescent="0.3">
      <c r="B160" s="24"/>
      <c r="C160" s="24"/>
      <c r="D160" s="62"/>
      <c r="E160" s="24"/>
      <c r="F160" s="24"/>
      <c r="G160" s="62"/>
      <c r="H160" s="24"/>
      <c r="I160" s="25"/>
      <c r="J160" s="25"/>
      <c r="K160" s="25"/>
      <c r="L160" s="25"/>
      <c r="M160" s="25"/>
      <c r="N160" s="25"/>
      <c r="O160" s="25"/>
      <c r="P160" s="25"/>
      <c r="Q160" s="25"/>
    </row>
    <row r="161" spans="2:17" x14ac:dyDescent="0.3">
      <c r="B161" s="24"/>
      <c r="C161" s="24"/>
      <c r="D161" s="62"/>
      <c r="E161" s="24"/>
      <c r="F161" s="24"/>
      <c r="G161" s="62"/>
      <c r="H161" s="24"/>
      <c r="I161" s="25"/>
      <c r="J161" s="25"/>
      <c r="K161" s="25"/>
      <c r="L161" s="25"/>
      <c r="M161" s="25"/>
      <c r="N161" s="25"/>
      <c r="O161" s="25"/>
      <c r="P161" s="25"/>
      <c r="Q161" s="25"/>
    </row>
    <row r="162" spans="2:17" x14ac:dyDescent="0.3">
      <c r="B162" s="24"/>
      <c r="C162" s="24"/>
      <c r="D162" s="62"/>
      <c r="E162" s="24"/>
      <c r="F162" s="24"/>
      <c r="G162" s="62"/>
      <c r="H162" s="24"/>
      <c r="I162" s="25"/>
      <c r="J162" s="25"/>
      <c r="K162" s="25"/>
      <c r="L162" s="25"/>
      <c r="M162" s="25"/>
      <c r="N162" s="25"/>
      <c r="O162" s="25"/>
      <c r="P162" s="25"/>
      <c r="Q162" s="25"/>
    </row>
    <row r="163" spans="2:17" x14ac:dyDescent="0.3">
      <c r="B163" s="24"/>
      <c r="C163" s="24"/>
      <c r="D163" s="62"/>
      <c r="E163" s="24"/>
      <c r="F163" s="24"/>
      <c r="G163" s="62"/>
      <c r="H163" s="24"/>
      <c r="I163" s="25"/>
      <c r="J163" s="25"/>
      <c r="K163" s="25"/>
      <c r="L163" s="25"/>
      <c r="M163" s="25"/>
      <c r="N163" s="25"/>
      <c r="O163" s="25"/>
      <c r="P163" s="25"/>
      <c r="Q163" s="25"/>
    </row>
    <row r="164" spans="2:17" x14ac:dyDescent="0.3">
      <c r="B164" s="24"/>
      <c r="C164" s="24"/>
      <c r="D164" s="62"/>
      <c r="E164" s="24"/>
      <c r="F164" s="24"/>
      <c r="G164" s="62"/>
      <c r="H164" s="24"/>
      <c r="I164" s="25"/>
      <c r="J164" s="25"/>
      <c r="K164" s="25"/>
      <c r="L164" s="25"/>
      <c r="M164" s="25"/>
      <c r="N164" s="25"/>
      <c r="O164" s="25"/>
      <c r="P164" s="25"/>
      <c r="Q164" s="25"/>
    </row>
    <row r="165" spans="2:17" x14ac:dyDescent="0.3">
      <c r="B165" s="24"/>
      <c r="C165" s="24"/>
      <c r="D165" s="62"/>
      <c r="E165" s="24"/>
      <c r="F165" s="24"/>
      <c r="G165" s="62"/>
      <c r="H165" s="24"/>
      <c r="I165" s="25"/>
      <c r="J165" s="25"/>
      <c r="K165" s="25"/>
      <c r="L165" s="25"/>
      <c r="M165" s="25"/>
      <c r="N165" s="25"/>
      <c r="O165" s="25"/>
      <c r="P165" s="25"/>
      <c r="Q165" s="25"/>
    </row>
    <row r="166" spans="2:17" x14ac:dyDescent="0.3">
      <c r="B166" s="24"/>
      <c r="C166" s="24"/>
      <c r="D166" s="62"/>
      <c r="E166" s="24"/>
      <c r="F166" s="24"/>
      <c r="G166" s="62"/>
      <c r="H166" s="24"/>
      <c r="I166" s="25"/>
      <c r="J166" s="25"/>
      <c r="K166" s="25"/>
      <c r="L166" s="25"/>
      <c r="M166" s="25"/>
      <c r="N166" s="25"/>
      <c r="O166" s="25"/>
      <c r="P166" s="25"/>
      <c r="Q166" s="25"/>
    </row>
    <row r="167" spans="2:17" x14ac:dyDescent="0.3">
      <c r="B167" s="24"/>
      <c r="C167" s="24"/>
      <c r="D167" s="62"/>
      <c r="E167" s="24"/>
      <c r="F167" s="24"/>
      <c r="G167" s="62"/>
      <c r="H167" s="24"/>
      <c r="I167" s="25"/>
      <c r="J167" s="25"/>
      <c r="K167" s="25"/>
      <c r="L167" s="25"/>
      <c r="M167" s="25"/>
      <c r="N167" s="25"/>
      <c r="O167" s="25"/>
      <c r="P167" s="25"/>
      <c r="Q167" s="25"/>
    </row>
    <row r="168" spans="2:17" x14ac:dyDescent="0.3">
      <c r="B168" s="24"/>
      <c r="C168" s="24"/>
      <c r="D168" s="62"/>
      <c r="E168" s="24"/>
      <c r="F168" s="24"/>
      <c r="G168" s="62"/>
      <c r="H168" s="24"/>
      <c r="I168" s="25"/>
      <c r="J168" s="25"/>
      <c r="K168" s="25"/>
      <c r="L168" s="25"/>
      <c r="M168" s="25"/>
      <c r="N168" s="25"/>
      <c r="O168" s="25"/>
      <c r="P168" s="25"/>
      <c r="Q168" s="25"/>
    </row>
    <row r="169" spans="2:17" x14ac:dyDescent="0.3">
      <c r="B169" s="24"/>
      <c r="C169" s="24"/>
      <c r="D169" s="62"/>
      <c r="E169" s="24"/>
      <c r="F169" s="24"/>
      <c r="G169" s="62"/>
      <c r="H169" s="24"/>
      <c r="I169" s="25"/>
      <c r="J169" s="25"/>
      <c r="K169" s="25"/>
      <c r="L169" s="25"/>
      <c r="M169" s="25"/>
      <c r="N169" s="25"/>
      <c r="O169" s="25"/>
      <c r="P169" s="25"/>
      <c r="Q169" s="25"/>
    </row>
    <row r="170" spans="2:17" x14ac:dyDescent="0.3">
      <c r="B170" s="24"/>
      <c r="C170" s="24"/>
      <c r="D170" s="62"/>
      <c r="E170" s="24"/>
      <c r="F170" s="24"/>
      <c r="G170" s="62"/>
      <c r="H170" s="24"/>
      <c r="I170" s="25"/>
      <c r="J170" s="25"/>
      <c r="K170" s="25"/>
      <c r="L170" s="25"/>
      <c r="M170" s="25"/>
      <c r="N170" s="25"/>
      <c r="O170" s="25"/>
      <c r="P170" s="25"/>
      <c r="Q170" s="25"/>
    </row>
    <row r="171" spans="2:17" x14ac:dyDescent="0.3">
      <c r="B171" s="24"/>
      <c r="C171" s="24"/>
      <c r="D171" s="62"/>
      <c r="E171" s="24"/>
      <c r="F171" s="24"/>
      <c r="G171" s="62"/>
      <c r="H171" s="24"/>
      <c r="I171" s="25"/>
      <c r="J171" s="25"/>
      <c r="K171" s="25"/>
      <c r="L171" s="25"/>
      <c r="M171" s="25"/>
      <c r="N171" s="25"/>
      <c r="O171" s="25"/>
      <c r="P171" s="25"/>
      <c r="Q171" s="25"/>
    </row>
    <row r="172" spans="2:17" x14ac:dyDescent="0.3">
      <c r="B172" s="24"/>
      <c r="C172" s="24"/>
      <c r="D172" s="62"/>
      <c r="E172" s="24"/>
      <c r="F172" s="24"/>
      <c r="G172" s="62"/>
      <c r="H172" s="24"/>
      <c r="I172" s="25"/>
      <c r="J172" s="25"/>
      <c r="K172" s="25"/>
      <c r="L172" s="25"/>
      <c r="M172" s="25"/>
      <c r="N172" s="25"/>
      <c r="O172" s="25"/>
      <c r="P172" s="25"/>
      <c r="Q172" s="25"/>
    </row>
    <row r="173" spans="2:17" x14ac:dyDescent="0.3">
      <c r="B173" s="24"/>
      <c r="C173" s="24"/>
      <c r="D173" s="62"/>
      <c r="E173" s="24"/>
      <c r="F173" s="24"/>
      <c r="G173" s="62"/>
      <c r="H173" s="24"/>
      <c r="I173" s="25"/>
      <c r="J173" s="25"/>
      <c r="K173" s="25"/>
      <c r="L173" s="25"/>
      <c r="M173" s="25"/>
      <c r="N173" s="25"/>
      <c r="O173" s="25"/>
      <c r="P173" s="25"/>
      <c r="Q173" s="25"/>
    </row>
    <row r="174" spans="2:17" x14ac:dyDescent="0.3">
      <c r="B174" s="24"/>
      <c r="C174" s="24"/>
      <c r="D174" s="62"/>
      <c r="E174" s="24"/>
      <c r="F174" s="24"/>
      <c r="G174" s="62"/>
      <c r="H174" s="24"/>
      <c r="I174" s="25"/>
      <c r="J174" s="25"/>
      <c r="K174" s="25"/>
      <c r="L174" s="25"/>
      <c r="M174" s="25"/>
      <c r="N174" s="25"/>
      <c r="O174" s="25"/>
      <c r="P174" s="25"/>
      <c r="Q174" s="25"/>
    </row>
    <row r="175" spans="2:17" x14ac:dyDescent="0.3">
      <c r="B175" s="24"/>
      <c r="C175" s="24"/>
      <c r="D175" s="62"/>
      <c r="E175" s="24"/>
      <c r="F175" s="24"/>
      <c r="G175" s="62"/>
      <c r="H175" s="24"/>
      <c r="I175" s="25"/>
      <c r="J175" s="25"/>
      <c r="K175" s="25"/>
      <c r="L175" s="25"/>
      <c r="M175" s="25"/>
      <c r="N175" s="25"/>
      <c r="O175" s="25"/>
      <c r="P175" s="25"/>
      <c r="Q175" s="25"/>
    </row>
    <row r="176" spans="2:17" x14ac:dyDescent="0.3">
      <c r="B176" s="24"/>
      <c r="C176" s="24"/>
      <c r="D176" s="62"/>
      <c r="E176" s="24"/>
      <c r="F176" s="24"/>
      <c r="G176" s="62"/>
      <c r="H176" s="24"/>
      <c r="I176" s="25"/>
      <c r="J176" s="25"/>
      <c r="K176" s="25"/>
      <c r="L176" s="25"/>
      <c r="M176" s="25"/>
      <c r="N176" s="25"/>
      <c r="O176" s="25"/>
      <c r="P176" s="25"/>
      <c r="Q176" s="25"/>
    </row>
    <row r="177" spans="2:17" x14ac:dyDescent="0.3">
      <c r="B177" s="24"/>
      <c r="C177" s="24"/>
      <c r="D177" s="62"/>
      <c r="E177" s="24"/>
      <c r="F177" s="24"/>
      <c r="G177" s="62"/>
      <c r="H177" s="24"/>
      <c r="I177" s="25"/>
      <c r="J177" s="25"/>
      <c r="K177" s="25"/>
      <c r="L177" s="25"/>
      <c r="M177" s="25"/>
      <c r="N177" s="25"/>
      <c r="O177" s="25"/>
      <c r="P177" s="25"/>
      <c r="Q177" s="25"/>
    </row>
    <row r="178" spans="2:17" x14ac:dyDescent="0.3">
      <c r="B178" s="24"/>
      <c r="C178" s="24"/>
      <c r="D178" s="62"/>
      <c r="E178" s="24"/>
      <c r="F178" s="24"/>
      <c r="G178" s="62"/>
      <c r="H178" s="24"/>
      <c r="I178" s="25"/>
      <c r="J178" s="25"/>
      <c r="K178" s="25"/>
      <c r="L178" s="25"/>
      <c r="M178" s="25"/>
      <c r="N178" s="25"/>
      <c r="O178" s="25"/>
      <c r="P178" s="25"/>
      <c r="Q178" s="25"/>
    </row>
    <row r="179" spans="2:17" x14ac:dyDescent="0.3">
      <c r="B179" s="24"/>
      <c r="C179" s="24"/>
      <c r="D179" s="62"/>
      <c r="E179" s="24"/>
      <c r="F179" s="24"/>
      <c r="G179" s="62"/>
      <c r="H179" s="24"/>
      <c r="I179" s="25"/>
      <c r="J179" s="25"/>
      <c r="K179" s="25"/>
      <c r="L179" s="25"/>
      <c r="M179" s="25"/>
      <c r="N179" s="25"/>
      <c r="O179" s="25"/>
      <c r="P179" s="25"/>
      <c r="Q179" s="25"/>
    </row>
    <row r="180" spans="2:17" x14ac:dyDescent="0.3">
      <c r="B180" s="24"/>
      <c r="C180" s="24"/>
      <c r="D180" s="62"/>
      <c r="E180" s="24"/>
      <c r="F180" s="24"/>
      <c r="G180" s="62"/>
      <c r="H180" s="24"/>
      <c r="I180" s="25"/>
      <c r="J180" s="25"/>
      <c r="K180" s="25"/>
      <c r="L180" s="25"/>
      <c r="M180" s="25"/>
      <c r="N180" s="25"/>
      <c r="O180" s="25"/>
      <c r="P180" s="25"/>
      <c r="Q180" s="25"/>
    </row>
    <row r="181" spans="2:17" x14ac:dyDescent="0.3">
      <c r="B181" s="24"/>
      <c r="C181" s="24"/>
      <c r="D181" s="62"/>
      <c r="E181" s="24"/>
      <c r="F181" s="24"/>
      <c r="G181" s="62"/>
      <c r="H181" s="24"/>
      <c r="I181" s="25"/>
      <c r="J181" s="25"/>
      <c r="K181" s="25"/>
      <c r="L181" s="25"/>
      <c r="M181" s="25"/>
      <c r="N181" s="25"/>
      <c r="O181" s="25"/>
      <c r="P181" s="25"/>
      <c r="Q181" s="25"/>
    </row>
    <row r="182" spans="2:17" x14ac:dyDescent="0.3">
      <c r="B182" s="24"/>
      <c r="C182" s="24"/>
      <c r="D182" s="62"/>
      <c r="E182" s="24"/>
      <c r="F182" s="24"/>
      <c r="G182" s="62"/>
      <c r="H182" s="24"/>
      <c r="I182" s="25"/>
      <c r="J182" s="25"/>
      <c r="K182" s="25"/>
      <c r="L182" s="25"/>
      <c r="M182" s="25"/>
      <c r="N182" s="25"/>
      <c r="O182" s="25"/>
      <c r="P182" s="25"/>
      <c r="Q182" s="25"/>
    </row>
    <row r="183" spans="2:17" x14ac:dyDescent="0.3">
      <c r="B183" s="24"/>
      <c r="C183" s="24"/>
      <c r="D183" s="62"/>
      <c r="E183" s="24"/>
      <c r="F183" s="24"/>
      <c r="G183" s="62"/>
      <c r="H183" s="24"/>
      <c r="I183" s="25"/>
      <c r="J183" s="25"/>
      <c r="K183" s="25"/>
      <c r="L183" s="25"/>
      <c r="M183" s="25"/>
      <c r="N183" s="25"/>
      <c r="O183" s="25"/>
      <c r="P183" s="25"/>
      <c r="Q183" s="25"/>
    </row>
    <row r="184" spans="2:17" x14ac:dyDescent="0.3">
      <c r="B184" s="24"/>
      <c r="C184" s="24"/>
      <c r="D184" s="62"/>
      <c r="E184" s="24"/>
      <c r="F184" s="24"/>
      <c r="G184" s="62"/>
      <c r="H184" s="24"/>
      <c r="I184" s="25"/>
      <c r="J184" s="25"/>
      <c r="K184" s="25"/>
      <c r="L184" s="25"/>
      <c r="M184" s="25"/>
      <c r="N184" s="25"/>
      <c r="O184" s="25"/>
      <c r="P184" s="25"/>
      <c r="Q184" s="25"/>
    </row>
    <row r="185" spans="2:17" x14ac:dyDescent="0.3">
      <c r="B185" s="24"/>
      <c r="C185" s="24"/>
      <c r="D185" s="62"/>
      <c r="E185" s="24"/>
      <c r="F185" s="24"/>
      <c r="G185" s="62"/>
      <c r="H185" s="24"/>
      <c r="I185" s="25"/>
      <c r="J185" s="25"/>
      <c r="K185" s="25"/>
      <c r="L185" s="25"/>
      <c r="M185" s="25"/>
      <c r="N185" s="25"/>
      <c r="O185" s="25"/>
      <c r="P185" s="25"/>
      <c r="Q185" s="25"/>
    </row>
    <row r="186" spans="2:17" x14ac:dyDescent="0.3">
      <c r="B186" s="24"/>
      <c r="C186" s="24"/>
      <c r="D186" s="62"/>
      <c r="E186" s="24"/>
      <c r="F186" s="24"/>
      <c r="G186" s="62"/>
      <c r="H186" s="24"/>
      <c r="I186" s="25"/>
      <c r="J186" s="25"/>
      <c r="K186" s="25"/>
      <c r="L186" s="25"/>
      <c r="M186" s="25"/>
      <c r="N186" s="25"/>
      <c r="O186" s="25"/>
      <c r="P186" s="25"/>
      <c r="Q186" s="25"/>
    </row>
    <row r="187" spans="2:17" x14ac:dyDescent="0.3">
      <c r="B187" s="24"/>
      <c r="C187" s="24"/>
      <c r="D187" s="62"/>
      <c r="E187" s="24"/>
      <c r="F187" s="24"/>
      <c r="G187" s="62"/>
      <c r="H187" s="24"/>
      <c r="I187" s="25"/>
      <c r="J187" s="25"/>
      <c r="K187" s="25"/>
      <c r="L187" s="25"/>
      <c r="M187" s="25"/>
      <c r="N187" s="25"/>
      <c r="O187" s="25"/>
      <c r="P187" s="25"/>
      <c r="Q187" s="25"/>
    </row>
    <row r="188" spans="2:17" x14ac:dyDescent="0.3">
      <c r="B188" s="24"/>
      <c r="C188" s="24"/>
      <c r="D188" s="62"/>
      <c r="E188" s="24"/>
      <c r="F188" s="24"/>
      <c r="G188" s="62"/>
      <c r="H188" s="24"/>
      <c r="I188" s="25"/>
      <c r="J188" s="25"/>
      <c r="K188" s="25"/>
      <c r="L188" s="25"/>
      <c r="M188" s="25"/>
      <c r="N188" s="25"/>
      <c r="O188" s="25"/>
      <c r="P188" s="25"/>
      <c r="Q188" s="25"/>
    </row>
    <row r="189" spans="2:17" x14ac:dyDescent="0.3">
      <c r="B189" s="24"/>
      <c r="C189" s="24"/>
      <c r="D189" s="62"/>
      <c r="E189" s="24"/>
      <c r="F189" s="24"/>
      <c r="G189" s="62"/>
      <c r="H189" s="24"/>
      <c r="I189" s="25"/>
      <c r="J189" s="25"/>
      <c r="K189" s="25"/>
      <c r="L189" s="25"/>
      <c r="M189" s="25"/>
      <c r="N189" s="25"/>
      <c r="O189" s="25"/>
      <c r="P189" s="25"/>
      <c r="Q189" s="25"/>
    </row>
    <row r="190" spans="2:17" x14ac:dyDescent="0.3">
      <c r="B190" s="24"/>
      <c r="C190" s="24"/>
      <c r="D190" s="62"/>
      <c r="E190" s="24"/>
      <c r="F190" s="24"/>
      <c r="G190" s="62"/>
      <c r="H190" s="24"/>
      <c r="I190" s="25"/>
      <c r="J190" s="25"/>
      <c r="K190" s="25"/>
      <c r="L190" s="25"/>
      <c r="M190" s="25"/>
      <c r="N190" s="25"/>
      <c r="O190" s="25"/>
      <c r="P190" s="25"/>
      <c r="Q190" s="25"/>
    </row>
    <row r="191" spans="2:17" x14ac:dyDescent="0.3">
      <c r="B191" s="24"/>
      <c r="C191" s="24"/>
      <c r="D191" s="62"/>
      <c r="E191" s="24"/>
      <c r="F191" s="24"/>
      <c r="G191" s="62"/>
      <c r="H191" s="24"/>
      <c r="I191" s="25"/>
      <c r="J191" s="25"/>
      <c r="K191" s="25"/>
      <c r="L191" s="25"/>
      <c r="M191" s="25"/>
      <c r="N191" s="25"/>
      <c r="O191" s="25"/>
      <c r="P191" s="25"/>
      <c r="Q191" s="25"/>
    </row>
    <row r="192" spans="2:17" x14ac:dyDescent="0.3">
      <c r="B192" s="24"/>
      <c r="C192" s="24"/>
      <c r="D192" s="62"/>
      <c r="E192" s="24"/>
      <c r="F192" s="24"/>
      <c r="G192" s="62"/>
      <c r="H192" s="24"/>
      <c r="I192" s="25"/>
      <c r="J192" s="25"/>
      <c r="K192" s="25"/>
      <c r="L192" s="25"/>
      <c r="M192" s="25"/>
      <c r="N192" s="25"/>
      <c r="O192" s="25"/>
      <c r="P192" s="25"/>
      <c r="Q192" s="25"/>
    </row>
    <row r="193" spans="2:17" x14ac:dyDescent="0.3">
      <c r="B193" s="24"/>
      <c r="C193" s="24"/>
      <c r="D193" s="62"/>
      <c r="E193" s="24"/>
      <c r="F193" s="24"/>
      <c r="G193" s="62"/>
      <c r="H193" s="24"/>
      <c r="I193" s="25"/>
      <c r="J193" s="25"/>
      <c r="K193" s="25"/>
      <c r="L193" s="25"/>
      <c r="M193" s="25"/>
      <c r="N193" s="25"/>
      <c r="O193" s="25"/>
      <c r="P193" s="25"/>
      <c r="Q193" s="25"/>
    </row>
    <row r="194" spans="2:17" x14ac:dyDescent="0.3">
      <c r="B194" s="24"/>
      <c r="C194" s="24"/>
      <c r="D194" s="62"/>
      <c r="E194" s="24"/>
      <c r="F194" s="24"/>
      <c r="G194" s="62"/>
      <c r="H194" s="24"/>
      <c r="I194" s="25"/>
      <c r="J194" s="25"/>
      <c r="K194" s="25"/>
      <c r="L194" s="25"/>
      <c r="M194" s="25"/>
      <c r="N194" s="25"/>
      <c r="O194" s="25"/>
      <c r="P194" s="25"/>
      <c r="Q194" s="25"/>
    </row>
    <row r="195" spans="2:17" x14ac:dyDescent="0.3">
      <c r="B195" s="24"/>
      <c r="C195" s="24"/>
      <c r="D195" s="62"/>
      <c r="E195" s="24"/>
      <c r="F195" s="24"/>
      <c r="G195" s="62"/>
      <c r="H195" s="24"/>
      <c r="I195" s="25"/>
      <c r="J195" s="25"/>
      <c r="K195" s="25"/>
      <c r="L195" s="25"/>
      <c r="M195" s="25"/>
      <c r="N195" s="25"/>
      <c r="O195" s="25"/>
      <c r="P195" s="25"/>
      <c r="Q195" s="25"/>
    </row>
    <row r="196" spans="2:17" x14ac:dyDescent="0.3">
      <c r="B196" s="24"/>
      <c r="C196" s="24"/>
      <c r="D196" s="62"/>
      <c r="E196" s="24"/>
      <c r="F196" s="24"/>
      <c r="G196" s="62"/>
      <c r="H196" s="24"/>
      <c r="I196" s="25"/>
      <c r="J196" s="25"/>
      <c r="K196" s="25"/>
      <c r="L196" s="25"/>
      <c r="M196" s="25"/>
      <c r="N196" s="25"/>
      <c r="O196" s="25"/>
      <c r="P196" s="25"/>
      <c r="Q196" s="25"/>
    </row>
    <row r="197" spans="2:17" x14ac:dyDescent="0.3">
      <c r="B197" s="24"/>
      <c r="C197" s="24"/>
      <c r="D197" s="62"/>
      <c r="E197" s="24"/>
      <c r="F197" s="24"/>
      <c r="G197" s="62"/>
      <c r="H197" s="24"/>
      <c r="I197" s="25"/>
      <c r="J197" s="25"/>
      <c r="K197" s="25"/>
      <c r="L197" s="25"/>
      <c r="M197" s="25"/>
      <c r="N197" s="25"/>
      <c r="O197" s="25"/>
      <c r="P197" s="25"/>
      <c r="Q197" s="25"/>
    </row>
    <row r="198" spans="2:17" x14ac:dyDescent="0.3">
      <c r="B198" s="24"/>
      <c r="C198" s="24"/>
      <c r="D198" s="62"/>
      <c r="E198" s="24"/>
      <c r="F198" s="24"/>
      <c r="G198" s="62"/>
      <c r="H198" s="24"/>
      <c r="I198" s="25"/>
      <c r="J198" s="25"/>
      <c r="K198" s="25"/>
      <c r="L198" s="25"/>
      <c r="M198" s="25"/>
      <c r="N198" s="25"/>
      <c r="O198" s="25"/>
      <c r="P198" s="25"/>
      <c r="Q198" s="25"/>
    </row>
    <row r="199" spans="2:17" x14ac:dyDescent="0.3">
      <c r="B199" s="24"/>
      <c r="C199" s="24"/>
      <c r="D199" s="62"/>
      <c r="E199" s="24"/>
      <c r="F199" s="24"/>
      <c r="G199" s="62"/>
      <c r="H199" s="24"/>
      <c r="I199" s="25"/>
      <c r="J199" s="25"/>
      <c r="K199" s="25"/>
      <c r="L199" s="25"/>
      <c r="M199" s="25"/>
      <c r="N199" s="25"/>
      <c r="O199" s="25"/>
      <c r="P199" s="25"/>
      <c r="Q199" s="25"/>
    </row>
    <row r="200" spans="2:17" x14ac:dyDescent="0.3">
      <c r="B200" s="24"/>
      <c r="C200" s="24"/>
      <c r="D200" s="62"/>
      <c r="E200" s="24"/>
      <c r="F200" s="24"/>
      <c r="G200" s="62"/>
      <c r="H200" s="24"/>
      <c r="I200" s="25"/>
      <c r="J200" s="25"/>
      <c r="K200" s="25"/>
      <c r="L200" s="25"/>
      <c r="M200" s="25"/>
      <c r="N200" s="25"/>
      <c r="O200" s="25"/>
      <c r="P200" s="25"/>
      <c r="Q200" s="25"/>
    </row>
    <row r="201" spans="2:17" x14ac:dyDescent="0.3">
      <c r="B201" s="24"/>
      <c r="C201" s="24"/>
      <c r="D201" s="62"/>
      <c r="E201" s="24"/>
      <c r="F201" s="24"/>
      <c r="G201" s="62"/>
      <c r="H201" s="24"/>
      <c r="I201" s="25"/>
      <c r="J201" s="25"/>
      <c r="K201" s="25"/>
      <c r="L201" s="25"/>
      <c r="M201" s="25"/>
      <c r="N201" s="25"/>
      <c r="O201" s="25"/>
      <c r="P201" s="25"/>
      <c r="Q201" s="25"/>
    </row>
    <row r="202" spans="2:17" x14ac:dyDescent="0.3">
      <c r="B202" s="24"/>
      <c r="C202" s="24"/>
      <c r="D202" s="62"/>
      <c r="E202" s="24"/>
      <c r="F202" s="24"/>
      <c r="G202" s="62"/>
      <c r="H202" s="24"/>
      <c r="I202" s="25"/>
      <c r="J202" s="25"/>
      <c r="K202" s="25"/>
      <c r="L202" s="25"/>
      <c r="M202" s="25"/>
      <c r="N202" s="25"/>
      <c r="O202" s="25"/>
      <c r="P202" s="25"/>
      <c r="Q202" s="25"/>
    </row>
    <row r="203" spans="2:17" x14ac:dyDescent="0.3">
      <c r="B203" s="24"/>
      <c r="C203" s="24"/>
      <c r="D203" s="62"/>
      <c r="E203" s="24"/>
      <c r="F203" s="24"/>
      <c r="G203" s="62"/>
      <c r="H203" s="24"/>
      <c r="I203" s="25"/>
      <c r="J203" s="25"/>
      <c r="K203" s="25"/>
      <c r="L203" s="25"/>
      <c r="M203" s="25"/>
      <c r="N203" s="25"/>
      <c r="O203" s="25"/>
      <c r="P203" s="25"/>
      <c r="Q203" s="25"/>
    </row>
    <row r="204" spans="2:17" x14ac:dyDescent="0.3">
      <c r="B204" s="24"/>
      <c r="C204" s="24"/>
      <c r="D204" s="62"/>
      <c r="E204" s="24"/>
      <c r="F204" s="24"/>
      <c r="G204" s="62"/>
      <c r="H204" s="24"/>
      <c r="I204" s="25"/>
      <c r="J204" s="25"/>
      <c r="K204" s="25"/>
      <c r="L204" s="25"/>
      <c r="M204" s="25"/>
      <c r="N204" s="25"/>
      <c r="O204" s="25"/>
      <c r="P204" s="25"/>
      <c r="Q204" s="25"/>
    </row>
    <row r="205" spans="2:17" x14ac:dyDescent="0.3">
      <c r="B205" s="24"/>
      <c r="C205" s="24"/>
      <c r="D205" s="62"/>
      <c r="E205" s="24"/>
      <c r="F205" s="24"/>
      <c r="G205" s="62"/>
      <c r="H205" s="24"/>
      <c r="I205" s="25"/>
      <c r="J205" s="25"/>
      <c r="K205" s="25"/>
      <c r="L205" s="25"/>
      <c r="M205" s="25"/>
      <c r="N205" s="25"/>
      <c r="O205" s="25"/>
      <c r="P205" s="25"/>
      <c r="Q205" s="25"/>
    </row>
    <row r="206" spans="2:17" x14ac:dyDescent="0.3">
      <c r="B206" s="24"/>
      <c r="C206" s="24"/>
      <c r="D206" s="62"/>
      <c r="E206" s="24"/>
      <c r="F206" s="24"/>
      <c r="G206" s="62"/>
      <c r="H206" s="24"/>
      <c r="I206" s="25"/>
      <c r="J206" s="25"/>
      <c r="K206" s="25"/>
      <c r="L206" s="25"/>
      <c r="M206" s="25"/>
      <c r="N206" s="25"/>
      <c r="O206" s="25"/>
      <c r="P206" s="25"/>
      <c r="Q206" s="25"/>
    </row>
    <row r="207" spans="2:17" x14ac:dyDescent="0.3">
      <c r="B207" s="24"/>
      <c r="C207" s="24"/>
      <c r="D207" s="62"/>
      <c r="E207" s="24"/>
      <c r="F207" s="24"/>
      <c r="G207" s="62"/>
      <c r="H207" s="24"/>
      <c r="I207" s="25"/>
      <c r="J207" s="25"/>
      <c r="K207" s="25"/>
      <c r="L207" s="25"/>
      <c r="M207" s="25"/>
      <c r="N207" s="25"/>
      <c r="O207" s="25"/>
      <c r="P207" s="25"/>
      <c r="Q207" s="25"/>
    </row>
    <row r="208" spans="2:17" x14ac:dyDescent="0.3">
      <c r="B208" s="24"/>
      <c r="C208" s="24"/>
      <c r="D208" s="62"/>
      <c r="E208" s="24"/>
      <c r="F208" s="24"/>
      <c r="G208" s="62"/>
      <c r="H208" s="24"/>
      <c r="I208" s="25"/>
      <c r="J208" s="25"/>
      <c r="K208" s="25"/>
      <c r="L208" s="25"/>
      <c r="M208" s="25"/>
      <c r="N208" s="25"/>
      <c r="O208" s="25"/>
      <c r="P208" s="25"/>
      <c r="Q208" s="25"/>
    </row>
    <row r="209" spans="2:17" x14ac:dyDescent="0.3">
      <c r="B209" s="24"/>
      <c r="C209" s="24"/>
      <c r="D209" s="62"/>
      <c r="E209" s="24"/>
      <c r="F209" s="24"/>
      <c r="G209" s="62"/>
      <c r="H209" s="24"/>
      <c r="I209" s="25"/>
      <c r="J209" s="25"/>
      <c r="K209" s="25"/>
      <c r="L209" s="25"/>
      <c r="M209" s="25"/>
      <c r="N209" s="25"/>
      <c r="O209" s="25"/>
      <c r="P209" s="25"/>
      <c r="Q209" s="25"/>
    </row>
    <row r="210" spans="2:17" x14ac:dyDescent="0.3">
      <c r="B210" s="24"/>
      <c r="C210" s="24"/>
      <c r="D210" s="62"/>
      <c r="E210" s="24"/>
      <c r="F210" s="24"/>
      <c r="G210" s="62"/>
      <c r="H210" s="24"/>
      <c r="I210" s="25"/>
      <c r="J210" s="25"/>
      <c r="K210" s="25"/>
      <c r="L210" s="25"/>
      <c r="M210" s="25"/>
      <c r="N210" s="25"/>
      <c r="O210" s="25"/>
      <c r="P210" s="25"/>
      <c r="Q210" s="25"/>
    </row>
    <row r="211" spans="2:17" x14ac:dyDescent="0.3">
      <c r="B211" s="24"/>
      <c r="C211" s="24"/>
      <c r="D211" s="62"/>
      <c r="E211" s="24"/>
      <c r="F211" s="24"/>
      <c r="G211" s="62"/>
      <c r="H211" s="24"/>
      <c r="I211" s="25"/>
      <c r="J211" s="25"/>
      <c r="K211" s="25"/>
      <c r="L211" s="25"/>
      <c r="M211" s="25"/>
      <c r="N211" s="25"/>
      <c r="O211" s="25"/>
      <c r="P211" s="25"/>
      <c r="Q211" s="25"/>
    </row>
    <row r="212" spans="2:17" x14ac:dyDescent="0.3">
      <c r="B212" s="24"/>
      <c r="C212" s="24"/>
      <c r="D212" s="62"/>
      <c r="E212" s="24"/>
      <c r="F212" s="24"/>
      <c r="G212" s="62"/>
      <c r="H212" s="24"/>
      <c r="I212" s="25"/>
      <c r="J212" s="25"/>
      <c r="K212" s="25"/>
      <c r="L212" s="25"/>
      <c r="M212" s="25"/>
      <c r="N212" s="25"/>
      <c r="O212" s="25"/>
      <c r="P212" s="25"/>
      <c r="Q212" s="25"/>
    </row>
    <row r="213" spans="2:17" x14ac:dyDescent="0.3">
      <c r="B213" s="24"/>
      <c r="C213" s="24"/>
      <c r="D213" s="62"/>
      <c r="E213" s="24"/>
      <c r="F213" s="24"/>
      <c r="G213" s="62"/>
      <c r="H213" s="24"/>
      <c r="I213" s="25"/>
      <c r="J213" s="25"/>
      <c r="K213" s="25"/>
      <c r="L213" s="25"/>
      <c r="M213" s="25"/>
      <c r="N213" s="25"/>
      <c r="O213" s="25"/>
      <c r="P213" s="25"/>
      <c r="Q213" s="25"/>
    </row>
    <row r="214" spans="2:17" x14ac:dyDescent="0.3">
      <c r="B214" s="24"/>
      <c r="C214" s="24"/>
      <c r="D214" s="62"/>
      <c r="E214" s="24"/>
      <c r="F214" s="24"/>
      <c r="G214" s="62"/>
      <c r="H214" s="24"/>
      <c r="I214" s="25"/>
      <c r="J214" s="25"/>
      <c r="K214" s="25"/>
      <c r="L214" s="25"/>
      <c r="M214" s="25"/>
      <c r="N214" s="25"/>
      <c r="O214" s="25"/>
      <c r="P214" s="25"/>
      <c r="Q214" s="25"/>
    </row>
    <row r="215" spans="2:17" x14ac:dyDescent="0.3">
      <c r="B215" s="24"/>
      <c r="C215" s="24"/>
      <c r="D215" s="62"/>
      <c r="E215" s="24"/>
      <c r="F215" s="24"/>
      <c r="G215" s="62"/>
      <c r="H215" s="24"/>
      <c r="I215" s="25"/>
      <c r="J215" s="25"/>
      <c r="K215" s="25"/>
      <c r="L215" s="25"/>
      <c r="M215" s="25"/>
      <c r="N215" s="25"/>
      <c r="O215" s="25"/>
      <c r="P215" s="25"/>
      <c r="Q215" s="25"/>
    </row>
    <row r="216" spans="2:17" x14ac:dyDescent="0.3">
      <c r="B216" s="24"/>
      <c r="C216" s="24"/>
      <c r="D216" s="62"/>
      <c r="E216" s="24"/>
      <c r="F216" s="24"/>
      <c r="G216" s="62"/>
      <c r="H216" s="24"/>
      <c r="I216" s="25"/>
      <c r="J216" s="25"/>
      <c r="K216" s="25"/>
      <c r="L216" s="25"/>
      <c r="M216" s="25"/>
      <c r="N216" s="25"/>
      <c r="O216" s="25"/>
      <c r="P216" s="25"/>
      <c r="Q216" s="25"/>
    </row>
    <row r="217" spans="2:17" x14ac:dyDescent="0.3">
      <c r="B217" s="24"/>
      <c r="C217" s="24"/>
      <c r="D217" s="62"/>
      <c r="E217" s="24"/>
      <c r="F217" s="24"/>
      <c r="G217" s="62"/>
      <c r="H217" s="24"/>
      <c r="I217" s="25"/>
      <c r="J217" s="25"/>
      <c r="K217" s="25"/>
      <c r="L217" s="25"/>
      <c r="M217" s="25"/>
      <c r="N217" s="25"/>
      <c r="O217" s="25"/>
      <c r="P217" s="25"/>
      <c r="Q217" s="25"/>
    </row>
    <row r="218" spans="2:17" x14ac:dyDescent="0.3">
      <c r="B218" s="24"/>
      <c r="C218" s="24"/>
      <c r="D218" s="62"/>
      <c r="E218" s="24"/>
      <c r="F218" s="24"/>
      <c r="G218" s="62"/>
      <c r="H218" s="24"/>
      <c r="I218" s="25"/>
      <c r="J218" s="25"/>
      <c r="K218" s="25"/>
      <c r="L218" s="25"/>
      <c r="M218" s="25"/>
      <c r="N218" s="25"/>
      <c r="O218" s="25"/>
      <c r="P218" s="25"/>
      <c r="Q218" s="25"/>
    </row>
    <row r="219" spans="2:17" x14ac:dyDescent="0.3">
      <c r="B219" s="24"/>
      <c r="C219" s="24"/>
      <c r="D219" s="62"/>
      <c r="E219" s="24"/>
      <c r="F219" s="24"/>
      <c r="G219" s="62"/>
      <c r="H219" s="24"/>
      <c r="I219" s="25"/>
      <c r="J219" s="25"/>
      <c r="K219" s="25"/>
      <c r="L219" s="25"/>
      <c r="M219" s="25"/>
      <c r="N219" s="25"/>
      <c r="O219" s="25"/>
      <c r="P219" s="25"/>
      <c r="Q219" s="25"/>
    </row>
    <row r="220" spans="2:17" x14ac:dyDescent="0.3">
      <c r="B220" s="24"/>
      <c r="C220" s="24"/>
      <c r="D220" s="62"/>
      <c r="E220" s="24"/>
      <c r="F220" s="24"/>
      <c r="G220" s="62"/>
      <c r="H220" s="24"/>
      <c r="I220" s="25"/>
      <c r="J220" s="25"/>
      <c r="K220" s="25"/>
      <c r="L220" s="25"/>
      <c r="M220" s="25"/>
      <c r="N220" s="25"/>
      <c r="O220" s="25"/>
      <c r="P220" s="25"/>
      <c r="Q220" s="25"/>
    </row>
    <row r="221" spans="2:17" x14ac:dyDescent="0.3">
      <c r="B221" s="24"/>
      <c r="C221" s="24"/>
      <c r="D221" s="62"/>
      <c r="E221" s="24"/>
      <c r="F221" s="24"/>
      <c r="G221" s="62"/>
      <c r="H221" s="24"/>
      <c r="I221" s="25"/>
      <c r="J221" s="25"/>
      <c r="K221" s="25"/>
      <c r="L221" s="25"/>
      <c r="M221" s="25"/>
      <c r="N221" s="25"/>
      <c r="O221" s="25"/>
      <c r="P221" s="25"/>
      <c r="Q221" s="25"/>
    </row>
    <row r="222" spans="2:17" x14ac:dyDescent="0.3">
      <c r="B222" s="24"/>
      <c r="C222" s="24"/>
      <c r="D222" s="62"/>
      <c r="E222" s="24"/>
      <c r="F222" s="24"/>
      <c r="G222" s="62"/>
      <c r="H222" s="24"/>
      <c r="I222" s="25"/>
      <c r="J222" s="25"/>
      <c r="K222" s="25"/>
      <c r="L222" s="25"/>
      <c r="M222" s="25"/>
      <c r="N222" s="25"/>
      <c r="O222" s="25"/>
      <c r="P222" s="25"/>
      <c r="Q222" s="25"/>
    </row>
    <row r="223" spans="2:17" x14ac:dyDescent="0.3">
      <c r="B223" s="24"/>
      <c r="C223" s="24"/>
      <c r="D223" s="62"/>
      <c r="E223" s="24"/>
      <c r="F223" s="24"/>
      <c r="G223" s="62"/>
      <c r="H223" s="24"/>
      <c r="I223" s="25"/>
      <c r="J223" s="25"/>
      <c r="K223" s="25"/>
      <c r="L223" s="25"/>
      <c r="M223" s="25"/>
      <c r="N223" s="25"/>
      <c r="O223" s="25"/>
      <c r="P223" s="25"/>
      <c r="Q223" s="25"/>
    </row>
    <row r="224" spans="2:17" x14ac:dyDescent="0.3">
      <c r="B224" s="24"/>
      <c r="C224" s="24"/>
      <c r="D224" s="62"/>
      <c r="E224" s="24"/>
      <c r="F224" s="24"/>
      <c r="G224" s="62"/>
      <c r="H224" s="24"/>
      <c r="I224" s="25"/>
      <c r="J224" s="25"/>
      <c r="K224" s="25"/>
      <c r="L224" s="25"/>
      <c r="M224" s="25"/>
      <c r="N224" s="25"/>
      <c r="O224" s="25"/>
      <c r="P224" s="25"/>
      <c r="Q224" s="25"/>
    </row>
    <row r="225" spans="2:17" x14ac:dyDescent="0.3">
      <c r="B225" s="24"/>
      <c r="C225" s="24"/>
      <c r="D225" s="62"/>
      <c r="E225" s="24"/>
      <c r="F225" s="24"/>
      <c r="G225" s="62"/>
      <c r="H225" s="24"/>
      <c r="I225" s="25"/>
      <c r="J225" s="25"/>
      <c r="K225" s="25"/>
      <c r="L225" s="25"/>
      <c r="M225" s="25"/>
      <c r="N225" s="25"/>
      <c r="O225" s="25"/>
      <c r="P225" s="25"/>
      <c r="Q225" s="25"/>
    </row>
    <row r="226" spans="2:17" x14ac:dyDescent="0.3">
      <c r="B226" s="24"/>
      <c r="C226" s="24"/>
      <c r="D226" s="62"/>
      <c r="E226" s="24"/>
      <c r="F226" s="24"/>
      <c r="G226" s="62"/>
      <c r="H226" s="24"/>
      <c r="I226" s="25"/>
      <c r="J226" s="25"/>
      <c r="K226" s="25"/>
      <c r="L226" s="25"/>
      <c r="M226" s="25"/>
      <c r="N226" s="25"/>
      <c r="O226" s="25"/>
      <c r="P226" s="25"/>
      <c r="Q226" s="25"/>
    </row>
    <row r="227" spans="2:17" x14ac:dyDescent="0.3">
      <c r="B227" s="24"/>
      <c r="C227" s="24"/>
      <c r="D227" s="62"/>
      <c r="E227" s="24"/>
      <c r="F227" s="24"/>
      <c r="G227" s="62"/>
      <c r="H227" s="24"/>
      <c r="I227" s="25"/>
      <c r="J227" s="25"/>
      <c r="K227" s="25"/>
      <c r="L227" s="25"/>
      <c r="M227" s="25"/>
      <c r="N227" s="25"/>
      <c r="O227" s="25"/>
      <c r="P227" s="25"/>
      <c r="Q227" s="25"/>
    </row>
    <row r="228" spans="2:17" x14ac:dyDescent="0.3">
      <c r="B228" s="24"/>
      <c r="C228" s="24"/>
      <c r="D228" s="62"/>
      <c r="E228" s="24"/>
      <c r="F228" s="24"/>
      <c r="G228" s="62"/>
      <c r="H228" s="24"/>
      <c r="I228" s="25"/>
      <c r="J228" s="25"/>
      <c r="K228" s="25"/>
      <c r="L228" s="25"/>
      <c r="M228" s="25"/>
      <c r="N228" s="25"/>
      <c r="O228" s="25"/>
      <c r="P228" s="25"/>
      <c r="Q228" s="25"/>
    </row>
    <row r="229" spans="2:17" x14ac:dyDescent="0.3">
      <c r="B229" s="24"/>
      <c r="C229" s="24"/>
      <c r="D229" s="62"/>
      <c r="E229" s="24"/>
      <c r="F229" s="24"/>
      <c r="G229" s="62"/>
      <c r="H229" s="24"/>
      <c r="I229" s="25"/>
      <c r="J229" s="25"/>
      <c r="K229" s="25"/>
      <c r="L229" s="25"/>
      <c r="M229" s="25"/>
      <c r="N229" s="25"/>
      <c r="O229" s="25"/>
      <c r="P229" s="25"/>
      <c r="Q229" s="25"/>
    </row>
    <row r="230" spans="2:17" x14ac:dyDescent="0.3">
      <c r="B230" s="24"/>
      <c r="C230" s="24"/>
      <c r="D230" s="62"/>
      <c r="E230" s="24"/>
      <c r="F230" s="24"/>
      <c r="G230" s="62"/>
      <c r="H230" s="24"/>
      <c r="I230" s="25"/>
      <c r="J230" s="25"/>
      <c r="K230" s="25"/>
      <c r="L230" s="25"/>
      <c r="M230" s="25"/>
      <c r="N230" s="25"/>
      <c r="O230" s="25"/>
      <c r="P230" s="25"/>
      <c r="Q230" s="25"/>
    </row>
    <row r="231" spans="2:17" x14ac:dyDescent="0.3">
      <c r="B231" s="24"/>
      <c r="C231" s="24"/>
      <c r="D231" s="62"/>
      <c r="E231" s="24"/>
      <c r="F231" s="24"/>
      <c r="G231" s="62"/>
      <c r="H231" s="24"/>
      <c r="I231" s="25"/>
      <c r="J231" s="25"/>
      <c r="K231" s="25"/>
      <c r="L231" s="25"/>
      <c r="M231" s="25"/>
      <c r="N231" s="25"/>
      <c r="O231" s="25"/>
      <c r="P231" s="25"/>
      <c r="Q231" s="25"/>
    </row>
    <row r="232" spans="2:17" x14ac:dyDescent="0.3">
      <c r="B232" s="24"/>
      <c r="C232" s="24"/>
      <c r="D232" s="62"/>
      <c r="E232" s="24"/>
      <c r="F232" s="24"/>
      <c r="G232" s="62"/>
      <c r="H232" s="24"/>
      <c r="I232" s="25"/>
      <c r="J232" s="25"/>
      <c r="K232" s="25"/>
      <c r="L232" s="25"/>
      <c r="M232" s="25"/>
      <c r="N232" s="25"/>
      <c r="O232" s="25"/>
      <c r="P232" s="25"/>
      <c r="Q232" s="25"/>
    </row>
    <row r="233" spans="2:17" x14ac:dyDescent="0.3">
      <c r="B233" s="24"/>
      <c r="C233" s="24"/>
      <c r="D233" s="62"/>
      <c r="E233" s="24"/>
      <c r="F233" s="24"/>
      <c r="G233" s="62"/>
      <c r="H233" s="24"/>
      <c r="I233" s="25"/>
      <c r="J233" s="25"/>
      <c r="K233" s="25"/>
      <c r="L233" s="25"/>
      <c r="M233" s="25"/>
      <c r="N233" s="25"/>
      <c r="O233" s="25"/>
      <c r="P233" s="25"/>
      <c r="Q233" s="25"/>
    </row>
    <row r="234" spans="2:17" x14ac:dyDescent="0.3">
      <c r="B234" s="24"/>
      <c r="C234" s="24"/>
      <c r="D234" s="62"/>
      <c r="E234" s="24"/>
      <c r="F234" s="24"/>
      <c r="G234" s="62"/>
      <c r="H234" s="24"/>
      <c r="I234" s="25"/>
      <c r="J234" s="25"/>
      <c r="K234" s="25"/>
      <c r="L234" s="25"/>
      <c r="M234" s="25"/>
      <c r="N234" s="25"/>
      <c r="O234" s="25"/>
      <c r="P234" s="25"/>
      <c r="Q234" s="25"/>
    </row>
    <row r="235" spans="2:17" x14ac:dyDescent="0.3">
      <c r="B235" s="24"/>
      <c r="C235" s="24"/>
      <c r="D235" s="62"/>
      <c r="E235" s="24"/>
      <c r="F235" s="24"/>
      <c r="G235" s="62"/>
      <c r="H235" s="24"/>
      <c r="I235" s="25"/>
      <c r="J235" s="25"/>
      <c r="K235" s="25"/>
      <c r="L235" s="25"/>
      <c r="M235" s="25"/>
      <c r="N235" s="25"/>
      <c r="O235" s="25"/>
      <c r="P235" s="25"/>
      <c r="Q235" s="25"/>
    </row>
    <row r="236" spans="2:17" x14ac:dyDescent="0.3">
      <c r="B236" s="24"/>
      <c r="C236" s="24"/>
      <c r="D236" s="62"/>
      <c r="E236" s="24"/>
      <c r="F236" s="24"/>
      <c r="G236" s="62"/>
      <c r="H236" s="24"/>
      <c r="I236" s="25"/>
      <c r="J236" s="25"/>
      <c r="K236" s="25"/>
      <c r="L236" s="25"/>
      <c r="M236" s="25"/>
      <c r="N236" s="25"/>
      <c r="O236" s="25"/>
      <c r="P236" s="25"/>
      <c r="Q236" s="25"/>
    </row>
    <row r="237" spans="2:17" x14ac:dyDescent="0.3">
      <c r="B237" s="24"/>
      <c r="C237" s="24"/>
      <c r="D237" s="62"/>
      <c r="E237" s="24"/>
      <c r="F237" s="24"/>
      <c r="G237" s="62"/>
      <c r="H237" s="24"/>
      <c r="I237" s="25"/>
      <c r="J237" s="25"/>
      <c r="K237" s="25"/>
      <c r="L237" s="25"/>
      <c r="M237" s="25"/>
      <c r="N237" s="25"/>
      <c r="O237" s="25"/>
      <c r="P237" s="25"/>
      <c r="Q237" s="25"/>
    </row>
    <row r="238" spans="2:17" x14ac:dyDescent="0.3">
      <c r="B238" s="24"/>
      <c r="C238" s="24"/>
      <c r="D238" s="62"/>
      <c r="E238" s="24"/>
      <c r="F238" s="24"/>
      <c r="G238" s="62"/>
      <c r="H238" s="24"/>
      <c r="I238" s="25"/>
      <c r="J238" s="25"/>
      <c r="K238" s="25"/>
      <c r="L238" s="25"/>
      <c r="M238" s="25"/>
      <c r="N238" s="25"/>
      <c r="O238" s="25"/>
      <c r="P238" s="25"/>
      <c r="Q238" s="25"/>
    </row>
    <row r="239" spans="2:17" x14ac:dyDescent="0.3">
      <c r="B239" s="24"/>
      <c r="C239" s="24"/>
      <c r="D239" s="62"/>
      <c r="E239" s="24"/>
      <c r="F239" s="24"/>
      <c r="G239" s="62"/>
      <c r="H239" s="24"/>
      <c r="I239" s="25"/>
      <c r="J239" s="25"/>
      <c r="K239" s="25"/>
      <c r="L239" s="25"/>
      <c r="M239" s="25"/>
      <c r="N239" s="25"/>
      <c r="O239" s="25"/>
      <c r="P239" s="25"/>
      <c r="Q239" s="25"/>
    </row>
    <row r="240" spans="2:17" x14ac:dyDescent="0.3">
      <c r="B240" s="24"/>
      <c r="C240" s="24"/>
      <c r="D240" s="62"/>
      <c r="E240" s="24"/>
      <c r="F240" s="24"/>
      <c r="G240" s="62"/>
      <c r="H240" s="24"/>
      <c r="I240" s="25"/>
      <c r="J240" s="25"/>
      <c r="K240" s="25"/>
      <c r="L240" s="25"/>
      <c r="M240" s="25"/>
      <c r="N240" s="25"/>
      <c r="O240" s="25"/>
      <c r="P240" s="25"/>
      <c r="Q240" s="25"/>
    </row>
    <row r="241" spans="2:17" x14ac:dyDescent="0.3">
      <c r="B241" s="24"/>
      <c r="C241" s="24"/>
      <c r="D241" s="62"/>
      <c r="E241" s="24"/>
      <c r="F241" s="24"/>
      <c r="G241" s="62"/>
      <c r="H241" s="24"/>
      <c r="I241" s="25"/>
      <c r="J241" s="25"/>
      <c r="K241" s="25"/>
      <c r="L241" s="25"/>
      <c r="M241" s="25"/>
      <c r="N241" s="25"/>
      <c r="O241" s="25"/>
      <c r="P241" s="25"/>
      <c r="Q241" s="25"/>
    </row>
    <row r="242" spans="2:17" x14ac:dyDescent="0.3">
      <c r="B242" s="24"/>
      <c r="C242" s="24"/>
      <c r="D242" s="62"/>
      <c r="E242" s="24"/>
      <c r="F242" s="24"/>
      <c r="G242" s="62"/>
      <c r="H242" s="24"/>
      <c r="I242" s="25"/>
      <c r="J242" s="25"/>
      <c r="K242" s="25"/>
      <c r="L242" s="25"/>
      <c r="M242" s="25"/>
      <c r="N242" s="25"/>
      <c r="O242" s="25"/>
      <c r="P242" s="25"/>
      <c r="Q242" s="25"/>
    </row>
    <row r="243" spans="2:17" x14ac:dyDescent="0.3">
      <c r="B243" s="24"/>
      <c r="C243" s="24"/>
      <c r="D243" s="62"/>
      <c r="E243" s="24"/>
      <c r="F243" s="24"/>
      <c r="G243" s="62"/>
      <c r="H243" s="24"/>
      <c r="I243" s="25"/>
      <c r="J243" s="25"/>
      <c r="K243" s="25"/>
      <c r="L243" s="25"/>
      <c r="M243" s="25"/>
      <c r="N243" s="25"/>
      <c r="O243" s="25"/>
      <c r="P243" s="25"/>
      <c r="Q243" s="25"/>
    </row>
  </sheetData>
  <mergeCells count="5">
    <mergeCell ref="A2:H2"/>
    <mergeCell ref="B6:D6"/>
    <mergeCell ref="E6:G6"/>
    <mergeCell ref="B22:D22"/>
    <mergeCell ref="E22:G2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tabColor indexed="52"/>
    <outlinePr applyStyles="1" summaryBelow="0"/>
    <pageSetUpPr fitToPage="1"/>
  </sheetPr>
  <dimension ref="A2:S243"/>
  <sheetViews>
    <sheetView workbookViewId="0">
      <selection activeCell="A8" sqref="A8"/>
    </sheetView>
  </sheetViews>
  <sheetFormatPr defaultColWidth="16.26953125" defaultRowHeight="13" outlineLevelRow="1" x14ac:dyDescent="0.3"/>
  <cols>
    <col min="1" max="1" width="65.26953125" style="21" bestFit="1" customWidth="1"/>
    <col min="2" max="2" width="14.453125" style="22" bestFit="1" customWidth="1"/>
    <col min="3" max="3" width="18.26953125" style="91" bestFit="1" customWidth="1"/>
    <col min="4" max="4" width="18.453125" style="91" bestFit="1" customWidth="1"/>
    <col min="5" max="5" width="14.81640625" style="22" bestFit="1" customWidth="1"/>
    <col min="6" max="6" width="16" style="22" bestFit="1" customWidth="1"/>
    <col min="7" max="7" width="10.7265625" style="71" bestFit="1" customWidth="1"/>
    <col min="8" max="8" width="14.453125" style="22" bestFit="1" customWidth="1"/>
    <col min="9" max="9" width="18.26953125" style="91" bestFit="1" customWidth="1"/>
    <col min="10" max="10" width="18.453125" style="91" bestFit="1" customWidth="1"/>
    <col min="11" max="12" width="16" style="22" bestFit="1" customWidth="1"/>
    <col min="13" max="13" width="10.7265625" style="71" bestFit="1" customWidth="1"/>
    <col min="14" max="14" width="16.1796875" style="22" bestFit="1" customWidth="1"/>
    <col min="15" max="15" width="16.26953125" style="21" customWidth="1"/>
    <col min="16" max="16384" width="16.26953125" style="21"/>
  </cols>
  <sheetData>
    <row r="2" spans="1:19" s="29" customFormat="1" ht="18.5" x14ac:dyDescent="0.45">
      <c r="A2" s="278" t="str">
        <f>DEBT_CURR_STRUCT</f>
        <v>Валютна структура боргу на кінець попереднього року та на звітну дату</v>
      </c>
      <c r="B2" s="280"/>
      <c r="C2" s="280"/>
      <c r="D2" s="280"/>
      <c r="E2" s="280"/>
      <c r="F2" s="280"/>
      <c r="G2" s="280"/>
      <c r="H2" s="280"/>
      <c r="I2" s="280"/>
      <c r="J2" s="280"/>
      <c r="K2" s="280"/>
      <c r="L2" s="280"/>
      <c r="M2" s="280"/>
      <c r="N2" s="280"/>
      <c r="O2" s="95"/>
      <c r="P2" s="95"/>
      <c r="Q2" s="95"/>
      <c r="R2" s="95"/>
      <c r="S2" s="95"/>
    </row>
    <row r="3" spans="1:19" x14ac:dyDescent="0.3">
      <c r="A3" s="23"/>
    </row>
    <row r="4" spans="1:19" s="26" customFormat="1" x14ac:dyDescent="0.3">
      <c r="B4" s="27"/>
      <c r="C4" s="93"/>
      <c r="D4" s="93"/>
      <c r="E4" s="27"/>
      <c r="F4" s="27"/>
      <c r="G4" s="66"/>
      <c r="H4" s="27"/>
      <c r="I4" s="93"/>
      <c r="J4" s="93"/>
      <c r="K4" s="27"/>
      <c r="L4" s="27"/>
      <c r="M4" s="66"/>
      <c r="N4" s="26" t="str">
        <f>VALVAL</f>
        <v>млрд. одиниць</v>
      </c>
    </row>
    <row r="5" spans="1:19" s="52" customFormat="1" x14ac:dyDescent="0.25">
      <c r="A5" s="77"/>
      <c r="B5" s="283">
        <v>45291</v>
      </c>
      <c r="C5" s="284"/>
      <c r="D5" s="284"/>
      <c r="E5" s="284"/>
      <c r="F5" s="284"/>
      <c r="G5" s="285"/>
      <c r="H5" s="283">
        <v>45657</v>
      </c>
      <c r="I5" s="284"/>
      <c r="J5" s="284"/>
      <c r="K5" s="284"/>
      <c r="L5" s="284"/>
      <c r="M5" s="285"/>
      <c r="N5" s="78"/>
    </row>
    <row r="6" spans="1:19" s="79" customFormat="1" x14ac:dyDescent="0.25">
      <c r="A6" s="11"/>
      <c r="B6" s="67" t="str">
        <f>ORIGINAL</f>
        <v>оріг.</v>
      </c>
      <c r="C6" s="94" t="str">
        <f>EXCH_RATE_TO_USD</f>
        <v>курс до USD</v>
      </c>
      <c r="D6" s="94" t="str">
        <f>EXCH_RATE_TO_UAH</f>
        <v>курс до UAH</v>
      </c>
      <c r="E6" s="67" t="str">
        <f>USD</f>
        <v>дол.США</v>
      </c>
      <c r="F6" s="67" t="str">
        <f>UAH</f>
        <v>грн.</v>
      </c>
      <c r="G6" s="68" t="s">
        <v>0</v>
      </c>
      <c r="H6" s="67" t="str">
        <f>ORIGINAL</f>
        <v>оріг.</v>
      </c>
      <c r="I6" s="94" t="str">
        <f>EXCH_RATE_TO_USD</f>
        <v>курс до USD</v>
      </c>
      <c r="J6" s="94" t="str">
        <f>EXCH_RATE_TO_UAH</f>
        <v>курс до UAH</v>
      </c>
      <c r="K6" s="67" t="str">
        <f>USD</f>
        <v>дол.США</v>
      </c>
      <c r="L6" s="67" t="str">
        <f>UAH</f>
        <v>грн.</v>
      </c>
      <c r="M6" s="68" t="s">
        <v>0</v>
      </c>
      <c r="N6" s="67" t="str">
        <f>CHANGE_OF_STRUCTURE</f>
        <v>Зміна структури</v>
      </c>
    </row>
    <row r="7" spans="1:19" s="14" customFormat="1" ht="14.5" x14ac:dyDescent="0.25">
      <c r="A7" s="151" t="str">
        <f>DEBT_TOTAL</f>
        <v>Загальна сума державного та гарантованого державою боргу</v>
      </c>
      <c r="B7" s="42"/>
      <c r="C7" s="96"/>
      <c r="D7" s="96"/>
      <c r="E7" s="42">
        <f>SUM(E8:E23)</f>
        <v>145.32087120896</v>
      </c>
      <c r="F7" s="42">
        <f>SUM(F8:F23)</f>
        <v>5519.6354586101506</v>
      </c>
      <c r="G7" s="97">
        <f>SUM(G8:G23)</f>
        <v>1.0000000000000002</v>
      </c>
      <c r="H7" s="42"/>
      <c r="I7" s="96"/>
      <c r="J7" s="96"/>
      <c r="K7" s="42">
        <f>SUM(K8:K23)</f>
        <v>166.05851744312002</v>
      </c>
      <c r="L7" s="42">
        <f>SUM(L8:L23)</f>
        <v>6980.93401478539</v>
      </c>
      <c r="M7" s="97">
        <f>SUM(M8:M23)</f>
        <v>1</v>
      </c>
      <c r="N7" s="42">
        <f>SUM(N8:N23)</f>
        <v>4.5536491244391186E-18</v>
      </c>
    </row>
    <row r="8" spans="1:19" s="37" customFormat="1" outlineLevel="1" x14ac:dyDescent="0.25">
      <c r="A8" s="159" t="s">
        <v>201</v>
      </c>
      <c r="B8" s="165">
        <v>1.837237848E-2</v>
      </c>
      <c r="C8" s="264">
        <v>1.276599</v>
      </c>
      <c r="D8" s="264">
        <v>48.488300000000002</v>
      </c>
      <c r="E8" s="165">
        <v>2.3454162970000001E-2</v>
      </c>
      <c r="F8" s="165">
        <v>0.89084539944999996</v>
      </c>
      <c r="G8" s="229">
        <v>1.6100000000000001E-4</v>
      </c>
      <c r="H8" s="165">
        <v>0.15097032724000001</v>
      </c>
      <c r="I8" s="264">
        <v>1.25945</v>
      </c>
      <c r="J8" s="264">
        <v>52.945999999999998</v>
      </c>
      <c r="K8" s="165">
        <v>0.19013951203000001</v>
      </c>
      <c r="L8" s="165">
        <v>7.9932749460499997</v>
      </c>
      <c r="M8" s="229">
        <v>1.145E-3</v>
      </c>
      <c r="N8" s="165">
        <v>9.8400000000000007E-4</v>
      </c>
    </row>
    <row r="9" spans="1:19" outlineLevel="1" x14ac:dyDescent="0.3">
      <c r="A9" s="240" t="s">
        <v>202</v>
      </c>
      <c r="B9" s="175">
        <v>38.084592958569999</v>
      </c>
      <c r="C9" s="265">
        <v>1</v>
      </c>
      <c r="D9" s="265">
        <v>37.982399999999998</v>
      </c>
      <c r="E9" s="175">
        <v>38.084592958569999</v>
      </c>
      <c r="F9" s="175">
        <v>1446.54424358959</v>
      </c>
      <c r="G9" s="197">
        <v>0.26207200000000003</v>
      </c>
      <c r="H9" s="175">
        <v>44.523593051120002</v>
      </c>
      <c r="I9" s="265">
        <v>1</v>
      </c>
      <c r="J9" s="265">
        <v>42.039000000000001</v>
      </c>
      <c r="K9" s="175">
        <v>44.523593051120002</v>
      </c>
      <c r="L9" s="175">
        <v>1871.72732827603</v>
      </c>
      <c r="M9" s="197">
        <v>0.26812000000000002</v>
      </c>
      <c r="N9" s="175">
        <v>6.0470000000000003E-3</v>
      </c>
      <c r="O9" s="25"/>
      <c r="P9" s="25"/>
      <c r="Q9" s="25"/>
    </row>
    <row r="10" spans="1:19" outlineLevel="1" x14ac:dyDescent="0.3">
      <c r="A10" s="240" t="s">
        <v>203</v>
      </c>
      <c r="B10" s="175">
        <v>42.261362461339999</v>
      </c>
      <c r="C10" s="265">
        <v>1.1112489999999999</v>
      </c>
      <c r="D10" s="265">
        <v>42.207900000000002</v>
      </c>
      <c r="E10" s="175">
        <v>46.962892303529998</v>
      </c>
      <c r="F10" s="175">
        <v>1783.7633606320001</v>
      </c>
      <c r="G10" s="197">
        <v>0.32316699999999998</v>
      </c>
      <c r="H10" s="175">
        <v>52.466612023949999</v>
      </c>
      <c r="I10" s="265">
        <v>1.0449010000000001</v>
      </c>
      <c r="J10" s="265">
        <v>43.926600000000001</v>
      </c>
      <c r="K10" s="175">
        <v>54.822423933229999</v>
      </c>
      <c r="L10" s="175">
        <v>2304.6798797312599</v>
      </c>
      <c r="M10" s="197">
        <v>0.33013900000000002</v>
      </c>
      <c r="N10" s="175">
        <v>6.9719999999999999E-3</v>
      </c>
      <c r="O10" s="25"/>
      <c r="P10" s="25"/>
      <c r="Q10" s="25"/>
    </row>
    <row r="11" spans="1:19" outlineLevel="1" x14ac:dyDescent="0.3">
      <c r="A11" s="240" t="s">
        <v>204</v>
      </c>
      <c r="B11" s="175">
        <v>4.3499999999999996</v>
      </c>
      <c r="C11" s="265">
        <v>0.75614499999999996</v>
      </c>
      <c r="D11" s="265">
        <v>28.720199999999998</v>
      </c>
      <c r="E11" s="175">
        <v>3.28923053835</v>
      </c>
      <c r="F11" s="175">
        <v>124.93286999999999</v>
      </c>
      <c r="G11" s="197">
        <v>2.2634000000000001E-2</v>
      </c>
      <c r="H11" s="175">
        <v>6.75</v>
      </c>
      <c r="I11" s="265">
        <v>0.69509500000000002</v>
      </c>
      <c r="J11" s="265">
        <v>29.2211</v>
      </c>
      <c r="K11" s="175">
        <v>4.6918914579299997</v>
      </c>
      <c r="L11" s="175">
        <v>197.242425</v>
      </c>
      <c r="M11" s="197">
        <v>2.8254000000000001E-2</v>
      </c>
      <c r="N11" s="175">
        <v>5.62E-3</v>
      </c>
      <c r="O11" s="25"/>
      <c r="P11" s="25"/>
      <c r="Q11" s="25"/>
    </row>
    <row r="12" spans="1:19" outlineLevel="1" x14ac:dyDescent="0.3">
      <c r="A12" s="240" t="s">
        <v>205</v>
      </c>
      <c r="B12" s="175">
        <v>12.2808774</v>
      </c>
      <c r="C12" s="265">
        <v>1.3416699999999999</v>
      </c>
      <c r="D12" s="265">
        <v>50.959829999999997</v>
      </c>
      <c r="E12" s="175">
        <v>16.47687941141</v>
      </c>
      <c r="F12" s="175">
        <v>625.83142455484995</v>
      </c>
      <c r="G12" s="197">
        <v>0.113383</v>
      </c>
      <c r="H12" s="175">
        <v>14.504647402</v>
      </c>
      <c r="I12" s="265">
        <v>1.304135</v>
      </c>
      <c r="J12" s="265">
        <v>54.824516000000003</v>
      </c>
      <c r="K12" s="175">
        <v>18.916013072719998</v>
      </c>
      <c r="L12" s="175">
        <v>795.21027356530999</v>
      </c>
      <c r="M12" s="197">
        <v>0.113912</v>
      </c>
      <c r="N12" s="175">
        <v>5.2899999999999996E-4</v>
      </c>
      <c r="O12" s="25"/>
      <c r="P12" s="25"/>
      <c r="Q12" s="25"/>
    </row>
    <row r="13" spans="1:19" outlineLevel="1" x14ac:dyDescent="0.3">
      <c r="A13" s="240" t="s">
        <v>206</v>
      </c>
      <c r="B13" s="175">
        <v>1501.7310584435299</v>
      </c>
      <c r="C13" s="265">
        <v>2.6328000000000001E-2</v>
      </c>
      <c r="D13" s="265">
        <v>1</v>
      </c>
      <c r="E13" s="175">
        <v>39.537550508709998</v>
      </c>
      <c r="F13" s="175">
        <v>1501.7310584435299</v>
      </c>
      <c r="G13" s="197">
        <v>0.27207100000000001</v>
      </c>
      <c r="H13" s="175">
        <v>1768.4912718688199</v>
      </c>
      <c r="I13" s="265">
        <v>2.3786999999999999E-2</v>
      </c>
      <c r="J13" s="265">
        <v>1</v>
      </c>
      <c r="K13" s="175">
        <v>42.067872020700001</v>
      </c>
      <c r="L13" s="175">
        <v>1768.4912718688199</v>
      </c>
      <c r="M13" s="197">
        <v>0.253332</v>
      </c>
      <c r="N13" s="175">
        <v>-1.8738999999999999E-2</v>
      </c>
      <c r="O13" s="25"/>
      <c r="P13" s="25"/>
      <c r="Q13" s="25"/>
    </row>
    <row r="14" spans="1:19" outlineLevel="1" x14ac:dyDescent="0.3">
      <c r="A14" s="240" t="s">
        <v>207</v>
      </c>
      <c r="B14" s="175">
        <v>133.369163942</v>
      </c>
      <c r="C14" s="265">
        <v>7.0949999999999997E-3</v>
      </c>
      <c r="D14" s="265">
        <v>0.26949000000000001</v>
      </c>
      <c r="E14" s="175">
        <v>0.94627132542000003</v>
      </c>
      <c r="F14" s="175">
        <v>35.941655990729998</v>
      </c>
      <c r="G14" s="197">
        <v>6.5120000000000004E-3</v>
      </c>
      <c r="H14" s="175">
        <v>133.369163942</v>
      </c>
      <c r="I14" s="265">
        <v>6.3480000000000003E-3</v>
      </c>
      <c r="J14" s="265">
        <v>0.26684999999999998</v>
      </c>
      <c r="K14" s="175">
        <v>0.84658439538999997</v>
      </c>
      <c r="L14" s="175">
        <v>35.589561397920001</v>
      </c>
      <c r="M14" s="197">
        <v>5.0980000000000001E-3</v>
      </c>
      <c r="N14" s="175">
        <v>-1.413E-3</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2:17" x14ac:dyDescent="0.3">
      <c r="B17" s="24"/>
      <c r="C17" s="92"/>
      <c r="D17" s="92"/>
      <c r="E17" s="24"/>
      <c r="F17" s="24"/>
      <c r="G17" s="62"/>
      <c r="H17" s="24"/>
      <c r="I17" s="92"/>
      <c r="J17" s="92"/>
      <c r="K17" s="24"/>
      <c r="L17" s="24"/>
      <c r="M17" s="62"/>
      <c r="N17" s="24"/>
      <c r="O17" s="25"/>
      <c r="P17" s="25"/>
      <c r="Q17" s="25"/>
    </row>
    <row r="18" spans="2:17" x14ac:dyDescent="0.3">
      <c r="B18" s="24"/>
      <c r="C18" s="92"/>
      <c r="D18" s="92"/>
      <c r="E18" s="24"/>
      <c r="F18" s="24"/>
      <c r="G18" s="62"/>
      <c r="H18" s="24"/>
      <c r="I18" s="92"/>
      <c r="J18" s="92"/>
      <c r="K18" s="24"/>
      <c r="L18" s="24"/>
      <c r="M18" s="62"/>
      <c r="N18" s="24"/>
      <c r="O18" s="25"/>
      <c r="P18" s="25"/>
      <c r="Q18" s="25"/>
    </row>
    <row r="19" spans="2:17" x14ac:dyDescent="0.3">
      <c r="B19" s="24"/>
      <c r="C19" s="92"/>
      <c r="D19" s="92"/>
      <c r="E19" s="24"/>
      <c r="F19" s="24"/>
      <c r="G19" s="62"/>
      <c r="H19" s="24"/>
      <c r="I19" s="92"/>
      <c r="J19" s="92"/>
      <c r="K19" s="24"/>
      <c r="L19" s="24"/>
      <c r="M19" s="62"/>
      <c r="N19" s="24"/>
      <c r="O19" s="25"/>
      <c r="P19" s="25"/>
      <c r="Q19" s="25"/>
    </row>
    <row r="20" spans="2:17" x14ac:dyDescent="0.3">
      <c r="B20" s="24"/>
      <c r="C20" s="92"/>
      <c r="D20" s="92"/>
      <c r="E20" s="24"/>
      <c r="F20" s="24"/>
      <c r="G20" s="62"/>
      <c r="H20" s="24"/>
      <c r="I20" s="92"/>
      <c r="J20" s="92"/>
      <c r="K20" s="24"/>
      <c r="L20" s="24"/>
      <c r="M20" s="62"/>
      <c r="N20" s="24"/>
      <c r="O20" s="25"/>
      <c r="P20" s="25"/>
      <c r="Q20" s="25"/>
    </row>
    <row r="21" spans="2:17" x14ac:dyDescent="0.3">
      <c r="B21" s="24"/>
      <c r="C21" s="92"/>
      <c r="D21" s="92"/>
      <c r="E21" s="24"/>
      <c r="F21" s="24"/>
      <c r="G21" s="62"/>
      <c r="H21" s="24"/>
      <c r="I21" s="92"/>
      <c r="J21" s="92"/>
      <c r="K21" s="24"/>
      <c r="L21" s="24"/>
      <c r="M21" s="62"/>
      <c r="N21" s="24"/>
      <c r="O21" s="25"/>
      <c r="P21" s="25"/>
      <c r="Q21" s="25"/>
    </row>
    <row r="22" spans="2:17" x14ac:dyDescent="0.3">
      <c r="B22" s="24"/>
      <c r="C22" s="92"/>
      <c r="D22" s="92"/>
      <c r="E22" s="24"/>
      <c r="F22" s="24"/>
      <c r="G22" s="62"/>
      <c r="H22" s="24"/>
      <c r="I22" s="92"/>
      <c r="J22" s="92"/>
      <c r="K22" s="24"/>
      <c r="L22" s="24"/>
      <c r="M22" s="62"/>
      <c r="N22" s="24"/>
      <c r="O22" s="25"/>
      <c r="P22" s="25"/>
      <c r="Q22" s="25"/>
    </row>
    <row r="23" spans="2:17" x14ac:dyDescent="0.3">
      <c r="B23" s="24"/>
      <c r="C23" s="92"/>
      <c r="D23" s="92"/>
      <c r="E23" s="24"/>
      <c r="F23" s="24"/>
      <c r="G23" s="62"/>
      <c r="H23" s="24"/>
      <c r="I23" s="92"/>
      <c r="J23" s="92"/>
      <c r="K23" s="24"/>
      <c r="L23" s="24"/>
      <c r="M23" s="62"/>
      <c r="N23" s="24"/>
      <c r="O23" s="25"/>
      <c r="P23" s="25"/>
      <c r="Q23" s="25"/>
    </row>
    <row r="24" spans="2:17" x14ac:dyDescent="0.3">
      <c r="B24" s="24"/>
      <c r="C24" s="92"/>
      <c r="D24" s="92"/>
      <c r="E24" s="24"/>
      <c r="F24" s="24"/>
      <c r="G24" s="62"/>
      <c r="H24" s="24"/>
      <c r="I24" s="92"/>
      <c r="J24" s="92"/>
      <c r="K24" s="24"/>
      <c r="L24" s="24"/>
      <c r="M24" s="62"/>
      <c r="N24" s="24"/>
      <c r="O24" s="25"/>
      <c r="P24" s="25"/>
      <c r="Q24" s="25"/>
    </row>
    <row r="25" spans="2:17" x14ac:dyDescent="0.3">
      <c r="B25" s="24"/>
      <c r="C25" s="92"/>
      <c r="D25" s="92"/>
      <c r="E25" s="24"/>
      <c r="F25" s="24"/>
      <c r="G25" s="62"/>
      <c r="H25" s="24"/>
      <c r="I25" s="92"/>
      <c r="J25" s="92"/>
      <c r="K25" s="24"/>
      <c r="L25" s="24"/>
      <c r="M25" s="62"/>
      <c r="N25" s="24"/>
      <c r="O25" s="25"/>
      <c r="P25" s="25"/>
      <c r="Q25" s="25"/>
    </row>
    <row r="26" spans="2:17" x14ac:dyDescent="0.3">
      <c r="B26" s="24"/>
      <c r="C26" s="92"/>
      <c r="D26" s="92"/>
      <c r="E26" s="24"/>
      <c r="F26" s="24"/>
      <c r="G26" s="62"/>
      <c r="H26" s="24"/>
      <c r="I26" s="92"/>
      <c r="J26" s="92"/>
      <c r="K26" s="24"/>
      <c r="L26" s="24"/>
      <c r="M26" s="62"/>
      <c r="N26" s="24"/>
      <c r="O26" s="25"/>
      <c r="P26" s="25"/>
      <c r="Q26" s="25"/>
    </row>
    <row r="27" spans="2:17" x14ac:dyDescent="0.3">
      <c r="B27" s="24"/>
      <c r="C27" s="92"/>
      <c r="D27" s="92"/>
      <c r="E27" s="24"/>
      <c r="F27" s="24"/>
      <c r="G27" s="62"/>
      <c r="H27" s="24"/>
      <c r="I27" s="92"/>
      <c r="J27" s="92"/>
      <c r="K27" s="24"/>
      <c r="L27" s="24"/>
      <c r="M27" s="62"/>
      <c r="N27" s="24"/>
      <c r="O27" s="25"/>
      <c r="P27" s="25"/>
      <c r="Q27" s="25"/>
    </row>
    <row r="28" spans="2:17" x14ac:dyDescent="0.3">
      <c r="B28" s="24"/>
      <c r="C28" s="92"/>
      <c r="D28" s="92"/>
      <c r="E28" s="24"/>
      <c r="F28" s="24"/>
      <c r="G28" s="62"/>
      <c r="H28" s="24"/>
      <c r="I28" s="92"/>
      <c r="J28" s="92"/>
      <c r="K28" s="24"/>
      <c r="L28" s="24"/>
      <c r="M28" s="62"/>
      <c r="N28" s="24"/>
      <c r="O28" s="25"/>
      <c r="P28" s="25"/>
      <c r="Q28" s="25"/>
    </row>
    <row r="29" spans="2:17" x14ac:dyDescent="0.3">
      <c r="B29" s="24"/>
      <c r="C29" s="92"/>
      <c r="D29" s="92"/>
      <c r="E29" s="24"/>
      <c r="F29" s="24"/>
      <c r="G29" s="62"/>
      <c r="H29" s="24"/>
      <c r="I29" s="92"/>
      <c r="J29" s="92"/>
      <c r="K29" s="24"/>
      <c r="L29" s="24"/>
      <c r="M29" s="62"/>
      <c r="N29" s="24"/>
      <c r="O29" s="25"/>
      <c r="P29" s="25"/>
      <c r="Q29" s="25"/>
    </row>
    <row r="30" spans="2:17" x14ac:dyDescent="0.3">
      <c r="B30" s="24"/>
      <c r="C30" s="92"/>
      <c r="D30" s="92"/>
      <c r="E30" s="24"/>
      <c r="F30" s="24"/>
      <c r="G30" s="62"/>
      <c r="H30" s="24"/>
      <c r="I30" s="92"/>
      <c r="J30" s="92"/>
      <c r="K30" s="24"/>
      <c r="L30" s="24"/>
      <c r="M30" s="62"/>
      <c r="N30" s="24"/>
      <c r="O30" s="25"/>
      <c r="P30" s="25"/>
      <c r="Q30" s="25"/>
    </row>
    <row r="31" spans="2:17" x14ac:dyDescent="0.3">
      <c r="B31" s="24"/>
      <c r="C31" s="92"/>
      <c r="D31" s="92"/>
      <c r="E31" s="24"/>
      <c r="F31" s="24"/>
      <c r="G31" s="62"/>
      <c r="H31" s="24"/>
      <c r="I31" s="92"/>
      <c r="J31" s="92"/>
      <c r="K31" s="24"/>
      <c r="L31" s="24"/>
      <c r="M31" s="62"/>
      <c r="N31" s="24"/>
      <c r="O31" s="25"/>
      <c r="P31" s="25"/>
      <c r="Q31" s="25"/>
    </row>
    <row r="32" spans="2:17" x14ac:dyDescent="0.3">
      <c r="B32" s="24"/>
      <c r="C32" s="92"/>
      <c r="D32" s="92"/>
      <c r="E32" s="24"/>
      <c r="F32" s="24"/>
      <c r="G32" s="62"/>
      <c r="H32" s="24"/>
      <c r="I32" s="92"/>
      <c r="J32" s="92"/>
      <c r="K32" s="24"/>
      <c r="L32" s="24"/>
      <c r="M32" s="62"/>
      <c r="N32" s="24"/>
      <c r="O32" s="25"/>
      <c r="P32" s="25"/>
      <c r="Q32" s="25"/>
    </row>
    <row r="33" spans="2:17" x14ac:dyDescent="0.3">
      <c r="B33" s="24"/>
      <c r="C33" s="92"/>
      <c r="D33" s="92"/>
      <c r="E33" s="24"/>
      <c r="F33" s="24"/>
      <c r="G33" s="62"/>
      <c r="H33" s="24"/>
      <c r="I33" s="92"/>
      <c r="J33" s="92"/>
      <c r="K33" s="24"/>
      <c r="L33" s="24"/>
      <c r="M33" s="62"/>
      <c r="N33" s="24"/>
      <c r="O33" s="25"/>
      <c r="P33" s="25"/>
      <c r="Q33" s="25"/>
    </row>
    <row r="34" spans="2:17" x14ac:dyDescent="0.3">
      <c r="B34" s="24"/>
      <c r="C34" s="92"/>
      <c r="D34" s="92"/>
      <c r="E34" s="24"/>
      <c r="F34" s="24"/>
      <c r="G34" s="62"/>
      <c r="H34" s="24"/>
      <c r="I34" s="92"/>
      <c r="J34" s="92"/>
      <c r="K34" s="24"/>
      <c r="L34" s="24"/>
      <c r="M34" s="62"/>
      <c r="N34" s="24"/>
      <c r="O34" s="25"/>
      <c r="P34" s="25"/>
      <c r="Q34" s="25"/>
    </row>
    <row r="35" spans="2:17" x14ac:dyDescent="0.3">
      <c r="B35" s="24"/>
      <c r="C35" s="92"/>
      <c r="D35" s="92"/>
      <c r="E35" s="24"/>
      <c r="F35" s="24"/>
      <c r="G35" s="62"/>
      <c r="H35" s="24"/>
      <c r="I35" s="92"/>
      <c r="J35" s="92"/>
      <c r="K35" s="24"/>
      <c r="L35" s="24"/>
      <c r="M35" s="62"/>
      <c r="N35" s="24"/>
      <c r="O35" s="25"/>
      <c r="P35" s="25"/>
      <c r="Q35" s="25"/>
    </row>
    <row r="36" spans="2:17" x14ac:dyDescent="0.3">
      <c r="B36" s="24"/>
      <c r="C36" s="92"/>
      <c r="D36" s="92"/>
      <c r="E36" s="24"/>
      <c r="F36" s="24"/>
      <c r="G36" s="62"/>
      <c r="H36" s="24"/>
      <c r="I36" s="92"/>
      <c r="J36" s="92"/>
      <c r="K36" s="24"/>
      <c r="L36" s="24"/>
      <c r="M36" s="62"/>
      <c r="N36" s="24"/>
      <c r="O36" s="25"/>
      <c r="P36" s="25"/>
      <c r="Q36" s="25"/>
    </row>
    <row r="37" spans="2:17" x14ac:dyDescent="0.3">
      <c r="B37" s="24"/>
      <c r="C37" s="92"/>
      <c r="D37" s="92"/>
      <c r="E37" s="24"/>
      <c r="F37" s="24"/>
      <c r="G37" s="62"/>
      <c r="H37" s="24"/>
      <c r="I37" s="92"/>
      <c r="J37" s="92"/>
      <c r="K37" s="24"/>
      <c r="L37" s="24"/>
      <c r="M37" s="62"/>
      <c r="N37" s="24"/>
      <c r="O37" s="25"/>
      <c r="P37" s="25"/>
      <c r="Q37" s="25"/>
    </row>
    <row r="38" spans="2:17" x14ac:dyDescent="0.3">
      <c r="B38" s="24"/>
      <c r="C38" s="92"/>
      <c r="D38" s="92"/>
      <c r="E38" s="24"/>
      <c r="F38" s="24"/>
      <c r="G38" s="62"/>
      <c r="H38" s="24"/>
      <c r="I38" s="92"/>
      <c r="J38" s="92"/>
      <c r="K38" s="24"/>
      <c r="L38" s="24"/>
      <c r="M38" s="62"/>
      <c r="N38" s="24"/>
      <c r="O38" s="25"/>
      <c r="P38" s="25"/>
      <c r="Q38" s="25"/>
    </row>
    <row r="39" spans="2:17" x14ac:dyDescent="0.3">
      <c r="B39" s="24"/>
      <c r="C39" s="92"/>
      <c r="D39" s="92"/>
      <c r="E39" s="24"/>
      <c r="F39" s="24"/>
      <c r="G39" s="62"/>
      <c r="H39" s="24"/>
      <c r="I39" s="92"/>
      <c r="J39" s="92"/>
      <c r="K39" s="24"/>
      <c r="L39" s="24"/>
      <c r="M39" s="62"/>
      <c r="N39" s="24"/>
      <c r="O39" s="25"/>
      <c r="P39" s="25"/>
      <c r="Q39" s="25"/>
    </row>
    <row r="40" spans="2:17" x14ac:dyDescent="0.3">
      <c r="B40" s="24"/>
      <c r="C40" s="92"/>
      <c r="D40" s="92"/>
      <c r="E40" s="24"/>
      <c r="F40" s="24"/>
      <c r="G40" s="62"/>
      <c r="H40" s="24"/>
      <c r="I40" s="92"/>
      <c r="J40" s="92"/>
      <c r="K40" s="24"/>
      <c r="L40" s="24"/>
      <c r="M40" s="62"/>
      <c r="N40" s="24"/>
      <c r="O40" s="25"/>
      <c r="P40" s="25"/>
      <c r="Q40" s="25"/>
    </row>
    <row r="41" spans="2:17" x14ac:dyDescent="0.3">
      <c r="B41" s="24"/>
      <c r="C41" s="92"/>
      <c r="D41" s="92"/>
      <c r="E41" s="24"/>
      <c r="F41" s="24"/>
      <c r="G41" s="62"/>
      <c r="H41" s="24"/>
      <c r="I41" s="92"/>
      <c r="J41" s="92"/>
      <c r="K41" s="24"/>
      <c r="L41" s="24"/>
      <c r="M41" s="62"/>
      <c r="N41" s="24"/>
      <c r="O41" s="25"/>
      <c r="P41" s="25"/>
      <c r="Q41" s="25"/>
    </row>
    <row r="42" spans="2:17" x14ac:dyDescent="0.3">
      <c r="B42" s="24"/>
      <c r="C42" s="92"/>
      <c r="D42" s="92"/>
      <c r="E42" s="24"/>
      <c r="F42" s="24"/>
      <c r="G42" s="62"/>
      <c r="H42" s="24"/>
      <c r="I42" s="92"/>
      <c r="J42" s="92"/>
      <c r="K42" s="24"/>
      <c r="L42" s="24"/>
      <c r="M42" s="62"/>
      <c r="N42" s="24"/>
      <c r="O42" s="25"/>
      <c r="P42" s="25"/>
      <c r="Q42" s="25"/>
    </row>
    <row r="43" spans="2:17" x14ac:dyDescent="0.3">
      <c r="B43" s="24"/>
      <c r="C43" s="92"/>
      <c r="D43" s="92"/>
      <c r="E43" s="24"/>
      <c r="F43" s="24"/>
      <c r="G43" s="62"/>
      <c r="H43" s="24"/>
      <c r="I43" s="92"/>
      <c r="J43" s="92"/>
      <c r="K43" s="24"/>
      <c r="L43" s="24"/>
      <c r="M43" s="62"/>
      <c r="N43" s="24"/>
      <c r="O43" s="25"/>
      <c r="P43" s="25"/>
      <c r="Q43" s="25"/>
    </row>
    <row r="44" spans="2:17" x14ac:dyDescent="0.3">
      <c r="B44" s="24"/>
      <c r="C44" s="92"/>
      <c r="D44" s="92"/>
      <c r="E44" s="24"/>
      <c r="F44" s="24"/>
      <c r="G44" s="62"/>
      <c r="H44" s="24"/>
      <c r="I44" s="92"/>
      <c r="J44" s="92"/>
      <c r="K44" s="24"/>
      <c r="L44" s="24"/>
      <c r="M44" s="62"/>
      <c r="N44" s="24"/>
      <c r="O44" s="25"/>
      <c r="P44" s="25"/>
      <c r="Q44" s="25"/>
    </row>
    <row r="45" spans="2:17" x14ac:dyDescent="0.3">
      <c r="B45" s="24"/>
      <c r="C45" s="92"/>
      <c r="D45" s="92"/>
      <c r="E45" s="24"/>
      <c r="F45" s="24"/>
      <c r="G45" s="62"/>
      <c r="H45" s="24"/>
      <c r="I45" s="92"/>
      <c r="J45" s="92"/>
      <c r="K45" s="24"/>
      <c r="L45" s="24"/>
      <c r="M45" s="62"/>
      <c r="N45" s="24"/>
      <c r="O45" s="25"/>
      <c r="P45" s="25"/>
      <c r="Q45" s="25"/>
    </row>
    <row r="46" spans="2:17" x14ac:dyDescent="0.3">
      <c r="B46" s="24"/>
      <c r="C46" s="92"/>
      <c r="D46" s="92"/>
      <c r="E46" s="24"/>
      <c r="F46" s="24"/>
      <c r="G46" s="62"/>
      <c r="H46" s="24"/>
      <c r="I46" s="92"/>
      <c r="J46" s="92"/>
      <c r="K46" s="24"/>
      <c r="L46" s="24"/>
      <c r="M46" s="62"/>
      <c r="N46" s="24"/>
      <c r="O46" s="25"/>
      <c r="P46" s="25"/>
      <c r="Q46" s="25"/>
    </row>
    <row r="47" spans="2:17" x14ac:dyDescent="0.3">
      <c r="B47" s="24"/>
      <c r="C47" s="92"/>
      <c r="D47" s="92"/>
      <c r="E47" s="24"/>
      <c r="F47" s="24"/>
      <c r="G47" s="62"/>
      <c r="H47" s="24"/>
      <c r="I47" s="92"/>
      <c r="J47" s="92"/>
      <c r="K47" s="24"/>
      <c r="L47" s="24"/>
      <c r="M47" s="62"/>
      <c r="N47" s="24"/>
      <c r="O47" s="25"/>
      <c r="P47" s="25"/>
      <c r="Q47" s="25"/>
    </row>
    <row r="48" spans="2: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sheetData>
  <mergeCells count="3">
    <mergeCell ref="B5:G5"/>
    <mergeCell ref="H5:M5"/>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tabColor indexed="52"/>
    <outlinePr applyStyles="1" summaryBelow="0"/>
    <pageSetUpPr fitToPage="1"/>
  </sheetPr>
  <dimension ref="A2:S247"/>
  <sheetViews>
    <sheetView workbookViewId="0">
      <selection activeCell="B25" sqref="B25"/>
    </sheetView>
  </sheetViews>
  <sheetFormatPr defaultColWidth="9.1796875" defaultRowHeight="13" outlineLevelRow="2" x14ac:dyDescent="0.3"/>
  <cols>
    <col min="1" max="1" width="63.26953125" style="21" bestFit="1" customWidth="1"/>
    <col min="2" max="2" width="12.7265625" style="22" bestFit="1" customWidth="1"/>
    <col min="3" max="3" width="18.26953125" style="91" bestFit="1" customWidth="1"/>
    <col min="4" max="4" width="18.453125" style="91" bestFit="1" customWidth="1"/>
    <col min="5" max="5" width="13.453125" style="22" bestFit="1" customWidth="1"/>
    <col min="6" max="6" width="14.453125" style="22" bestFit="1" customWidth="1"/>
    <col min="7" max="7" width="10.7265625" style="71" bestFit="1" customWidth="1"/>
    <col min="8" max="8" width="12.7265625" style="22" bestFit="1" customWidth="1"/>
    <col min="9" max="9" width="18.26953125" style="91" bestFit="1" customWidth="1"/>
    <col min="10" max="10" width="18.453125" style="91" bestFit="1" customWidth="1"/>
    <col min="11" max="12" width="14.453125" style="22" bestFit="1" customWidth="1"/>
    <col min="13" max="13" width="10.7265625" style="71" bestFit="1" customWidth="1"/>
    <col min="14" max="14" width="16.1796875" style="22" bestFit="1" customWidth="1"/>
    <col min="15" max="15" width="9.1796875" style="21" customWidth="1"/>
    <col min="16" max="16384" width="9.1796875" style="21"/>
  </cols>
  <sheetData>
    <row r="2" spans="1:19" ht="18.5" x14ac:dyDescent="0.45">
      <c r="A2" s="278" t="str">
        <f>DEBT_CURR_STRUCT&amp;" "&amp;EXTENDED</f>
        <v>Валютна структура боргу на кінець попереднього року та на звітну дату (розширений)</v>
      </c>
      <c r="B2" s="280"/>
      <c r="C2" s="280"/>
      <c r="D2" s="280"/>
      <c r="E2" s="280"/>
      <c r="F2" s="280"/>
      <c r="G2" s="280"/>
      <c r="H2" s="280"/>
      <c r="I2" s="280"/>
      <c r="J2" s="280"/>
      <c r="K2" s="280"/>
      <c r="L2" s="280"/>
      <c r="M2" s="280"/>
      <c r="N2" s="280"/>
      <c r="O2" s="25"/>
      <c r="P2" s="25"/>
      <c r="Q2" s="25"/>
      <c r="R2" s="25"/>
      <c r="S2" s="25"/>
    </row>
    <row r="3" spans="1:19" x14ac:dyDescent="0.3">
      <c r="A3" s="23"/>
    </row>
    <row r="4" spans="1:19" s="26" customFormat="1" x14ac:dyDescent="0.3">
      <c r="B4" s="27"/>
      <c r="C4" s="93"/>
      <c r="D4" s="93"/>
      <c r="E4" s="27"/>
      <c r="F4" s="27"/>
      <c r="G4" s="66"/>
      <c r="H4" s="27"/>
      <c r="I4" s="93"/>
      <c r="J4" s="93"/>
      <c r="K4" s="27"/>
      <c r="L4" s="27"/>
      <c r="M4" s="66"/>
      <c r="N4" s="26" t="str">
        <f>VALVAL</f>
        <v>млрд. одиниць</v>
      </c>
    </row>
    <row r="5" spans="1:19" s="52" customFormat="1" x14ac:dyDescent="0.25">
      <c r="A5" s="77"/>
      <c r="B5" s="286">
        <v>45291</v>
      </c>
      <c r="C5" s="287"/>
      <c r="D5" s="287"/>
      <c r="E5" s="287"/>
      <c r="F5" s="287"/>
      <c r="G5" s="288"/>
      <c r="H5" s="286">
        <v>45657</v>
      </c>
      <c r="I5" s="287"/>
      <c r="J5" s="287"/>
      <c r="K5" s="287"/>
      <c r="L5" s="287"/>
      <c r="M5" s="288"/>
      <c r="N5" s="78"/>
    </row>
    <row r="6" spans="1:19" s="79" customFormat="1" x14ac:dyDescent="0.25">
      <c r="A6" s="11"/>
      <c r="B6" s="67" t="str">
        <f>ORIGINAL</f>
        <v>оріг.</v>
      </c>
      <c r="C6" s="94" t="str">
        <f>EXCH_RATE_TO_USD</f>
        <v>курс до USD</v>
      </c>
      <c r="D6" s="94" t="str">
        <f>EXCH_RATE_TO_UAH</f>
        <v>курс до UAH</v>
      </c>
      <c r="E6" s="67" t="str">
        <f>USD</f>
        <v>дол.США</v>
      </c>
      <c r="F6" s="67" t="str">
        <f>UAH</f>
        <v>грн.</v>
      </c>
      <c r="G6" s="68" t="s">
        <v>0</v>
      </c>
      <c r="H6" s="67" t="str">
        <f>ORIGINAL</f>
        <v>оріг.</v>
      </c>
      <c r="I6" s="94" t="str">
        <f>EXCH_RATE_TO_USD</f>
        <v>курс до USD</v>
      </c>
      <c r="J6" s="94" t="str">
        <f>EXCH_RATE_TO_UAH</f>
        <v>курс до UAH</v>
      </c>
      <c r="K6" s="67" t="str">
        <f>USD</f>
        <v>дол.США</v>
      </c>
      <c r="L6" s="67" t="str">
        <f>UAH</f>
        <v>грн.</v>
      </c>
      <c r="M6" s="68" t="s">
        <v>0</v>
      </c>
      <c r="N6" s="67" t="str">
        <f>CHANGE_OF_STRUCTURE</f>
        <v>Зміна структури</v>
      </c>
    </row>
    <row r="7" spans="1:19" s="14" customFormat="1" ht="14.5" x14ac:dyDescent="0.25">
      <c r="A7" s="151" t="str">
        <f>DEBT_TOTAL</f>
        <v>Загальна сума державного та гарантованого державою боргу</v>
      </c>
      <c r="B7" s="42"/>
      <c r="C7" s="96"/>
      <c r="D7" s="96"/>
      <c r="E7" s="42">
        <f>SUM(E8:E24)</f>
        <v>145.32087120896</v>
      </c>
      <c r="F7" s="42">
        <f>SUM(F8:F24)</f>
        <v>5519.6354586101506</v>
      </c>
      <c r="G7" s="97">
        <f>SUM(G8:G24)</f>
        <v>1.0000000000000002</v>
      </c>
      <c r="H7" s="42"/>
      <c r="I7" s="96"/>
      <c r="J7" s="96"/>
      <c r="K7" s="42">
        <f>SUM(K8:K24)</f>
        <v>166.05851744312002</v>
      </c>
      <c r="L7" s="42">
        <f>SUM(L8:L24)</f>
        <v>6980.93401478539</v>
      </c>
      <c r="M7" s="97">
        <f>SUM(M8:M24)</f>
        <v>1</v>
      </c>
      <c r="N7" s="42">
        <f>SUM(N8:N24)</f>
        <v>4.5536491244391186E-18</v>
      </c>
    </row>
    <row r="8" spans="1:19" s="37" customFormat="1" outlineLevel="1" x14ac:dyDescent="0.25">
      <c r="A8" s="159" t="s">
        <v>201</v>
      </c>
      <c r="B8" s="165">
        <v>1.837237848E-2</v>
      </c>
      <c r="C8" s="264">
        <v>1.276599</v>
      </c>
      <c r="D8" s="264">
        <v>48.488300000000002</v>
      </c>
      <c r="E8" s="165">
        <v>2.3454162970000001E-2</v>
      </c>
      <c r="F8" s="165">
        <v>0.89084539944999996</v>
      </c>
      <c r="G8" s="229">
        <v>1.6100000000000001E-4</v>
      </c>
      <c r="H8" s="165">
        <v>0.15097032724000001</v>
      </c>
      <c r="I8" s="264">
        <v>1.25945</v>
      </c>
      <c r="J8" s="264">
        <v>52.945999999999998</v>
      </c>
      <c r="K8" s="165">
        <v>0.19013951203000001</v>
      </c>
      <c r="L8" s="165">
        <v>7.9932749460499997</v>
      </c>
      <c r="M8" s="229">
        <v>1.145E-3</v>
      </c>
      <c r="N8" s="165">
        <v>9.8400000000000007E-4</v>
      </c>
    </row>
    <row r="9" spans="1:19" outlineLevel="1" x14ac:dyDescent="0.3">
      <c r="A9" s="240" t="s">
        <v>202</v>
      </c>
      <c r="B9" s="175">
        <v>38.084592958569999</v>
      </c>
      <c r="C9" s="265">
        <v>1</v>
      </c>
      <c r="D9" s="265">
        <v>37.982399999999998</v>
      </c>
      <c r="E9" s="175">
        <v>38.084592958569999</v>
      </c>
      <c r="F9" s="175">
        <v>1446.54424358959</v>
      </c>
      <c r="G9" s="197">
        <v>0.26207200000000003</v>
      </c>
      <c r="H9" s="175">
        <v>44.523593051120002</v>
      </c>
      <c r="I9" s="265">
        <v>1</v>
      </c>
      <c r="J9" s="265">
        <v>42.039000000000001</v>
      </c>
      <c r="K9" s="175">
        <v>44.523593051120002</v>
      </c>
      <c r="L9" s="175">
        <v>1871.72732827603</v>
      </c>
      <c r="M9" s="197">
        <v>0.26812000000000002</v>
      </c>
      <c r="N9" s="175">
        <v>6.0470000000000003E-3</v>
      </c>
      <c r="O9" s="25"/>
      <c r="P9" s="25"/>
      <c r="Q9" s="25"/>
    </row>
    <row r="10" spans="1:19" outlineLevel="1" x14ac:dyDescent="0.3">
      <c r="A10" s="240" t="s">
        <v>203</v>
      </c>
      <c r="B10" s="175">
        <v>42.261362461339999</v>
      </c>
      <c r="C10" s="265">
        <v>1.1112489999999999</v>
      </c>
      <c r="D10" s="265">
        <v>42.207900000000002</v>
      </c>
      <c r="E10" s="175">
        <v>46.962892303529998</v>
      </c>
      <c r="F10" s="175">
        <v>1783.7633606320001</v>
      </c>
      <c r="G10" s="197">
        <v>0.32316699999999998</v>
      </c>
      <c r="H10" s="175">
        <v>52.466612023949999</v>
      </c>
      <c r="I10" s="265">
        <v>1.0449010000000001</v>
      </c>
      <c r="J10" s="265">
        <v>43.926600000000001</v>
      </c>
      <c r="K10" s="175">
        <v>54.822423933229999</v>
      </c>
      <c r="L10" s="175">
        <v>2304.6798797312599</v>
      </c>
      <c r="M10" s="197">
        <v>0.33013900000000002</v>
      </c>
      <c r="N10" s="175">
        <v>6.9719999999999999E-3</v>
      </c>
      <c r="O10" s="25"/>
      <c r="P10" s="25"/>
      <c r="Q10" s="25"/>
    </row>
    <row r="11" spans="1:19" outlineLevel="1" x14ac:dyDescent="0.3">
      <c r="A11" s="240" t="s">
        <v>204</v>
      </c>
      <c r="B11" s="175">
        <v>4.3499999999999996</v>
      </c>
      <c r="C11" s="265">
        <v>0.75614499999999996</v>
      </c>
      <c r="D11" s="265">
        <v>28.720199999999998</v>
      </c>
      <c r="E11" s="175">
        <v>3.28923053835</v>
      </c>
      <c r="F11" s="175">
        <v>124.93286999999999</v>
      </c>
      <c r="G11" s="197">
        <v>2.2634000000000001E-2</v>
      </c>
      <c r="H11" s="175">
        <v>6.75</v>
      </c>
      <c r="I11" s="265">
        <v>0.69509500000000002</v>
      </c>
      <c r="J11" s="265">
        <v>29.2211</v>
      </c>
      <c r="K11" s="175">
        <v>4.6918914579299997</v>
      </c>
      <c r="L11" s="175">
        <v>197.242425</v>
      </c>
      <c r="M11" s="197">
        <v>2.8254000000000001E-2</v>
      </c>
      <c r="N11" s="175">
        <v>5.62E-3</v>
      </c>
      <c r="O11" s="25"/>
      <c r="P11" s="25"/>
      <c r="Q11" s="25"/>
    </row>
    <row r="12" spans="1:19" outlineLevel="1" x14ac:dyDescent="0.3">
      <c r="A12" s="240" t="s">
        <v>205</v>
      </c>
      <c r="B12" s="175">
        <v>12.2808774</v>
      </c>
      <c r="C12" s="265">
        <v>1.3416699999999999</v>
      </c>
      <c r="D12" s="265">
        <v>50.959829999999997</v>
      </c>
      <c r="E12" s="175">
        <v>16.47687941141</v>
      </c>
      <c r="F12" s="175">
        <v>625.83142455484995</v>
      </c>
      <c r="G12" s="197">
        <v>0.113383</v>
      </c>
      <c r="H12" s="175">
        <v>14.504647402</v>
      </c>
      <c r="I12" s="265">
        <v>1.304135</v>
      </c>
      <c r="J12" s="265">
        <v>54.824516000000003</v>
      </c>
      <c r="K12" s="175">
        <v>18.916013072719998</v>
      </c>
      <c r="L12" s="175">
        <v>795.21027356530999</v>
      </c>
      <c r="M12" s="197">
        <v>0.113912</v>
      </c>
      <c r="N12" s="175">
        <v>5.2899999999999996E-4</v>
      </c>
      <c r="O12" s="25"/>
      <c r="P12" s="25"/>
      <c r="Q12" s="25"/>
    </row>
    <row r="13" spans="1:19" outlineLevel="1" x14ac:dyDescent="0.3">
      <c r="A13" s="240" t="s">
        <v>206</v>
      </c>
      <c r="B13" s="175">
        <v>1501.7310584435299</v>
      </c>
      <c r="C13" s="265">
        <v>2.6328000000000001E-2</v>
      </c>
      <c r="D13" s="265">
        <v>1</v>
      </c>
      <c r="E13" s="175">
        <v>39.537550508709998</v>
      </c>
      <c r="F13" s="175">
        <v>1501.7310584435299</v>
      </c>
      <c r="G13" s="197">
        <v>0.27207100000000001</v>
      </c>
      <c r="H13" s="175">
        <v>1768.4912718688199</v>
      </c>
      <c r="I13" s="265">
        <v>2.3786999999999999E-2</v>
      </c>
      <c r="J13" s="265">
        <v>1</v>
      </c>
      <c r="K13" s="175">
        <v>42.067872020700001</v>
      </c>
      <c r="L13" s="175">
        <v>1768.4912718688199</v>
      </c>
      <c r="M13" s="197">
        <v>0.253332</v>
      </c>
      <c r="N13" s="175">
        <v>-1.8738999999999999E-2</v>
      </c>
      <c r="O13" s="25"/>
      <c r="P13" s="25"/>
      <c r="Q13" s="25"/>
    </row>
    <row r="14" spans="1:19" outlineLevel="1" x14ac:dyDescent="0.3">
      <c r="A14" s="240" t="s">
        <v>207</v>
      </c>
      <c r="B14" s="175">
        <v>133.369163942</v>
      </c>
      <c r="C14" s="265">
        <v>7.0949999999999997E-3</v>
      </c>
      <c r="D14" s="265">
        <v>0.26949000000000001</v>
      </c>
      <c r="E14" s="175">
        <v>0.94627132542000003</v>
      </c>
      <c r="F14" s="175">
        <v>35.941655990729998</v>
      </c>
      <c r="G14" s="197">
        <v>6.5120000000000004E-3</v>
      </c>
      <c r="H14" s="175">
        <v>133.369163942</v>
      </c>
      <c r="I14" s="265">
        <v>6.3480000000000003E-3</v>
      </c>
      <c r="J14" s="265">
        <v>0.26684999999999998</v>
      </c>
      <c r="K14" s="175">
        <v>0.84658439538999997</v>
      </c>
      <c r="L14" s="175">
        <v>35.589561397920001</v>
      </c>
      <c r="M14" s="197">
        <v>5.0980000000000001E-3</v>
      </c>
      <c r="N14" s="175">
        <v>-1.413E-3</v>
      </c>
      <c r="O14" s="25"/>
      <c r="P14" s="25"/>
      <c r="Q14" s="25"/>
    </row>
    <row r="15" spans="1:19" x14ac:dyDescent="0.3">
      <c r="B15" s="24"/>
      <c r="C15" s="92"/>
      <c r="D15" s="92"/>
      <c r="E15" s="24"/>
      <c r="F15" s="24"/>
      <c r="G15" s="62"/>
      <c r="H15" s="24"/>
      <c r="I15" s="92"/>
      <c r="J15" s="92"/>
      <c r="K15" s="24"/>
      <c r="L15" s="24"/>
      <c r="M15" s="62"/>
      <c r="N15" s="24"/>
      <c r="O15" s="25"/>
      <c r="P15" s="25"/>
      <c r="Q15" s="25"/>
    </row>
    <row r="16" spans="1:19" x14ac:dyDescent="0.3">
      <c r="B16" s="24"/>
      <c r="C16" s="92"/>
      <c r="D16" s="92"/>
      <c r="E16" s="24"/>
      <c r="F16" s="24"/>
      <c r="G16" s="62"/>
      <c r="H16" s="24"/>
      <c r="I16" s="92"/>
      <c r="J16" s="92"/>
      <c r="K16" s="24"/>
      <c r="L16" s="24"/>
      <c r="M16" s="62"/>
      <c r="N16" s="24"/>
      <c r="O16" s="25"/>
      <c r="P16" s="25"/>
      <c r="Q16" s="25"/>
    </row>
    <row r="17" spans="1:19" x14ac:dyDescent="0.3">
      <c r="B17" s="24"/>
      <c r="C17" s="92"/>
      <c r="D17" s="92"/>
      <c r="E17" s="24"/>
      <c r="F17" s="24"/>
      <c r="G17" s="62"/>
      <c r="H17" s="24"/>
      <c r="I17" s="92"/>
      <c r="J17" s="92"/>
      <c r="K17" s="24"/>
      <c r="L17" s="24"/>
      <c r="M17" s="62"/>
      <c r="N17" s="24"/>
      <c r="O17" s="25"/>
      <c r="P17" s="25"/>
      <c r="Q17" s="25"/>
    </row>
    <row r="18" spans="1:19" x14ac:dyDescent="0.3">
      <c r="B18" s="24"/>
      <c r="C18" s="92"/>
      <c r="D18" s="92"/>
      <c r="E18" s="24"/>
      <c r="F18" s="24"/>
      <c r="G18" s="62"/>
      <c r="H18" s="24"/>
      <c r="I18" s="92"/>
      <c r="J18" s="92"/>
      <c r="K18" s="24"/>
      <c r="L18" s="24"/>
      <c r="M18" s="62"/>
      <c r="N18" s="24"/>
      <c r="O18" s="25"/>
      <c r="P18" s="25"/>
      <c r="Q18" s="25"/>
    </row>
    <row r="19" spans="1:19" x14ac:dyDescent="0.3">
      <c r="B19" s="24"/>
      <c r="C19" s="92"/>
      <c r="D19" s="92"/>
      <c r="E19" s="24"/>
      <c r="F19" s="24"/>
      <c r="G19" s="62"/>
      <c r="H19" s="24"/>
      <c r="I19" s="92"/>
      <c r="J19" s="92"/>
      <c r="K19" s="24"/>
      <c r="L19" s="24"/>
      <c r="M19" s="62"/>
      <c r="N19" s="24"/>
      <c r="O19" s="25"/>
      <c r="P19" s="25"/>
      <c r="Q19" s="25"/>
    </row>
    <row r="20" spans="1:19" x14ac:dyDescent="0.3">
      <c r="B20" s="24"/>
      <c r="C20" s="92"/>
      <c r="D20" s="92"/>
      <c r="E20" s="24"/>
      <c r="F20" s="24"/>
      <c r="G20" s="62"/>
      <c r="H20" s="24"/>
      <c r="I20" s="92"/>
      <c r="J20" s="92"/>
      <c r="K20" s="24"/>
      <c r="L20" s="24"/>
      <c r="M20" s="62"/>
      <c r="N20" s="24"/>
      <c r="O20" s="25"/>
      <c r="P20" s="25"/>
      <c r="Q20" s="25"/>
    </row>
    <row r="21" spans="1:19" x14ac:dyDescent="0.3">
      <c r="B21" s="24"/>
      <c r="C21" s="92"/>
      <c r="D21" s="92"/>
      <c r="E21" s="24"/>
      <c r="F21" s="24"/>
      <c r="G21" s="62"/>
      <c r="H21" s="24"/>
      <c r="I21" s="92"/>
      <c r="J21" s="92"/>
      <c r="K21" s="24"/>
      <c r="L21" s="24"/>
      <c r="M21" s="62"/>
      <c r="N21" s="24"/>
      <c r="O21" s="25"/>
      <c r="P21" s="25"/>
      <c r="Q21" s="25"/>
    </row>
    <row r="22" spans="1:19" x14ac:dyDescent="0.3">
      <c r="B22" s="24"/>
      <c r="C22" s="92"/>
      <c r="D22" s="92"/>
      <c r="E22" s="24"/>
      <c r="F22" s="24"/>
      <c r="G22" s="62"/>
      <c r="H22" s="24"/>
      <c r="I22" s="92"/>
      <c r="J22" s="92"/>
      <c r="K22" s="24"/>
      <c r="L22" s="24"/>
      <c r="M22" s="62"/>
      <c r="N22" s="24"/>
      <c r="O22" s="25"/>
      <c r="P22" s="25"/>
      <c r="Q22" s="25"/>
    </row>
    <row r="23" spans="1:19" x14ac:dyDescent="0.3">
      <c r="B23" s="24"/>
      <c r="C23" s="92"/>
      <c r="D23" s="92"/>
      <c r="E23" s="24"/>
      <c r="F23" s="24"/>
      <c r="G23" s="62"/>
      <c r="H23" s="24"/>
      <c r="I23" s="92"/>
      <c r="J23" s="92"/>
      <c r="K23" s="24"/>
      <c r="L23" s="24"/>
      <c r="M23" s="62"/>
      <c r="N23" s="26" t="str">
        <f>VALVAL</f>
        <v>млрд. одиниць</v>
      </c>
      <c r="O23" s="25"/>
      <c r="P23" s="25"/>
      <c r="Q23" s="25"/>
    </row>
    <row r="24" spans="1:19" x14ac:dyDescent="0.3">
      <c r="A24" s="77"/>
      <c r="B24" s="283">
        <v>45291</v>
      </c>
      <c r="C24" s="284"/>
      <c r="D24" s="284"/>
      <c r="E24" s="284"/>
      <c r="F24" s="284"/>
      <c r="G24" s="285"/>
      <c r="H24" s="283">
        <v>45657</v>
      </c>
      <c r="I24" s="284"/>
      <c r="J24" s="284"/>
      <c r="K24" s="284"/>
      <c r="L24" s="284"/>
      <c r="M24" s="285"/>
      <c r="N24" s="78"/>
      <c r="O24" s="52"/>
      <c r="P24" s="52"/>
      <c r="Q24" s="52"/>
      <c r="R24" s="52"/>
      <c r="S24" s="52"/>
    </row>
    <row r="25" spans="1:19" s="82" customFormat="1" x14ac:dyDescent="0.3">
      <c r="A25" s="80"/>
      <c r="B25" s="67" t="str">
        <f>ORIGINAL</f>
        <v>оріг.</v>
      </c>
      <c r="C25" s="94" t="str">
        <f>EXCH_RATE_TO_USD</f>
        <v>курс до USD</v>
      </c>
      <c r="D25" s="94" t="str">
        <f>EXCH_RATE_TO_UAH</f>
        <v>курс до UAH</v>
      </c>
      <c r="E25" s="67" t="str">
        <f>USD</f>
        <v>дол.США</v>
      </c>
      <c r="F25" s="67" t="str">
        <f>UAH</f>
        <v>грн.</v>
      </c>
      <c r="G25" s="68" t="s">
        <v>0</v>
      </c>
      <c r="H25" s="67" t="str">
        <f>ORIGINAL</f>
        <v>оріг.</v>
      </c>
      <c r="I25" s="94" t="str">
        <f>EXCH_RATE_TO_USD</f>
        <v>курс до USD</v>
      </c>
      <c r="J25" s="94" t="str">
        <f>EXCH_RATE_TO_UAH</f>
        <v>курс до UAH</v>
      </c>
      <c r="K25" s="67" t="str">
        <f>USD</f>
        <v>дол.США</v>
      </c>
      <c r="L25" s="67" t="str">
        <f>UAH</f>
        <v>грн.</v>
      </c>
      <c r="M25" s="68" t="s">
        <v>0</v>
      </c>
      <c r="N25" s="67" t="str">
        <f>CHANGE_OF_STRUCTURE</f>
        <v>Зміна структури</v>
      </c>
      <c r="O25" s="81"/>
      <c r="P25" s="81"/>
      <c r="Q25" s="81"/>
    </row>
    <row r="26" spans="1:19" s="35" customFormat="1" ht="14.5" x14ac:dyDescent="0.35">
      <c r="A26" s="153" t="str">
        <f>DEBT_TOTAL</f>
        <v>Загальна сума державного та гарантованого державою боргу</v>
      </c>
      <c r="B26" s="90">
        <f t="shared" ref="B26:N26" si="0">B$35+B$27</f>
        <v>1732.0954275839199</v>
      </c>
      <c r="C26" s="98">
        <f t="shared" si="0"/>
        <v>8.9983329999999988</v>
      </c>
      <c r="D26" s="98">
        <f t="shared" si="0"/>
        <v>341.77824999999996</v>
      </c>
      <c r="E26" s="90">
        <f t="shared" si="0"/>
        <v>145.32087120896</v>
      </c>
      <c r="F26" s="90">
        <f t="shared" si="0"/>
        <v>5519.6354586101497</v>
      </c>
      <c r="G26" s="99">
        <f t="shared" si="0"/>
        <v>1.0000010000000001</v>
      </c>
      <c r="H26" s="90">
        <f t="shared" si="0"/>
        <v>2020.25625861513</v>
      </c>
      <c r="I26" s="98">
        <f t="shared" si="0"/>
        <v>8.7065390000000011</v>
      </c>
      <c r="J26" s="98">
        <f t="shared" si="0"/>
        <v>366.01418200000001</v>
      </c>
      <c r="K26" s="90">
        <f t="shared" si="0"/>
        <v>166.05851744312</v>
      </c>
      <c r="L26" s="90">
        <f t="shared" si="0"/>
        <v>6980.93401478539</v>
      </c>
      <c r="M26" s="99">
        <f t="shared" si="0"/>
        <v>1.0000000000000002</v>
      </c>
      <c r="N26" s="90">
        <f t="shared" si="0"/>
        <v>1.0000000000010001E-6</v>
      </c>
      <c r="O26" s="34"/>
      <c r="P26" s="34"/>
      <c r="Q26" s="34"/>
    </row>
    <row r="27" spans="1:19" s="61" customFormat="1" ht="14.5" outlineLevel="1" x14ac:dyDescent="0.35">
      <c r="A27" s="255" t="s">
        <v>1</v>
      </c>
      <c r="B27" s="261">
        <f t="shared" ref="B27:N27" si="1">SUM(B$28:B$34)</f>
        <v>1670.9519288894599</v>
      </c>
      <c r="C27" s="266">
        <f t="shared" si="1"/>
        <v>5.5190859999999997</v>
      </c>
      <c r="D27" s="266">
        <f t="shared" si="1"/>
        <v>209.62812</v>
      </c>
      <c r="E27" s="261">
        <f t="shared" si="1"/>
        <v>136.59196737241001</v>
      </c>
      <c r="F27" s="261">
        <f t="shared" si="1"/>
        <v>5188.0907415274296</v>
      </c>
      <c r="G27" s="267">
        <f t="shared" si="1"/>
        <v>0.93993400000000005</v>
      </c>
      <c r="H27" s="261">
        <f t="shared" si="1"/>
        <v>1955.5579117162001</v>
      </c>
      <c r="I27" s="266">
        <f t="shared" si="1"/>
        <v>5.3337160000000008</v>
      </c>
      <c r="J27" s="266">
        <f t="shared" si="1"/>
        <v>224.22406600000002</v>
      </c>
      <c r="K27" s="261">
        <f t="shared" si="1"/>
        <v>159.19557804599</v>
      </c>
      <c r="L27" s="261">
        <f t="shared" si="1"/>
        <v>6692.4229054677799</v>
      </c>
      <c r="M27" s="267">
        <f t="shared" si="1"/>
        <v>0.95867100000000016</v>
      </c>
      <c r="N27" s="261">
        <f t="shared" si="1"/>
        <v>1.8738999999999999E-2</v>
      </c>
      <c r="O27" s="60"/>
      <c r="P27" s="60"/>
      <c r="Q27" s="60"/>
    </row>
    <row r="28" spans="1:19" s="39" customFormat="1" outlineLevel="2" x14ac:dyDescent="0.3">
      <c r="A28" s="244" t="s">
        <v>201</v>
      </c>
      <c r="B28" s="160">
        <v>1.837237848E-2</v>
      </c>
      <c r="C28" s="268">
        <v>1.276599</v>
      </c>
      <c r="D28" s="268">
        <v>48.488300000000002</v>
      </c>
      <c r="E28" s="160">
        <v>2.3454162970000001E-2</v>
      </c>
      <c r="F28" s="160">
        <v>0.89084539944999996</v>
      </c>
      <c r="G28" s="163">
        <v>1.6100000000000001E-4</v>
      </c>
      <c r="H28" s="160">
        <v>0.15097032724000001</v>
      </c>
      <c r="I28" s="268">
        <v>1.25945</v>
      </c>
      <c r="J28" s="268">
        <v>52.945999999999998</v>
      </c>
      <c r="K28" s="160">
        <v>0.19013951203000001</v>
      </c>
      <c r="L28" s="160">
        <v>7.9932749460499997</v>
      </c>
      <c r="M28" s="163">
        <v>1.145E-3</v>
      </c>
      <c r="N28" s="160">
        <v>9.8400000000000007E-4</v>
      </c>
      <c r="O28" s="38"/>
      <c r="P28" s="38"/>
      <c r="Q28" s="38"/>
    </row>
    <row r="29" spans="1:19" outlineLevel="2" x14ac:dyDescent="0.3">
      <c r="A29" s="254" t="s">
        <v>202</v>
      </c>
      <c r="B29" s="175">
        <v>34.636033317980001</v>
      </c>
      <c r="C29" s="265">
        <v>1</v>
      </c>
      <c r="D29" s="265">
        <v>37.982399999999998</v>
      </c>
      <c r="E29" s="175">
        <v>34.636033317980001</v>
      </c>
      <c r="F29" s="175">
        <v>1315.55967189683</v>
      </c>
      <c r="G29" s="197">
        <v>0.238342</v>
      </c>
      <c r="H29" s="175">
        <v>41.946064231139999</v>
      </c>
      <c r="I29" s="265">
        <v>1</v>
      </c>
      <c r="J29" s="265">
        <v>42.039000000000001</v>
      </c>
      <c r="K29" s="175">
        <v>41.946064231139999</v>
      </c>
      <c r="L29" s="175">
        <v>1763.3705942129</v>
      </c>
      <c r="M29" s="197">
        <v>0.25259799999999999</v>
      </c>
      <c r="N29" s="175">
        <v>1.4256E-2</v>
      </c>
      <c r="O29" s="25"/>
      <c r="P29" s="25"/>
      <c r="Q29" s="25"/>
    </row>
    <row r="30" spans="1:19" outlineLevel="2" x14ac:dyDescent="0.3">
      <c r="A30" s="254" t="s">
        <v>203</v>
      </c>
      <c r="B30" s="175">
        <v>40.818507662739997</v>
      </c>
      <c r="C30" s="265">
        <v>1.1112489999999999</v>
      </c>
      <c r="D30" s="265">
        <v>42.207900000000002</v>
      </c>
      <c r="E30" s="175">
        <v>45.359521504040003</v>
      </c>
      <c r="F30" s="175">
        <v>1722.8634895781699</v>
      </c>
      <c r="G30" s="197">
        <v>0.31213400000000002</v>
      </c>
      <c r="H30" s="175">
        <v>50.919345482040001</v>
      </c>
      <c r="I30" s="265">
        <v>1.0449010000000001</v>
      </c>
      <c r="J30" s="265">
        <v>43.926600000000001</v>
      </c>
      <c r="K30" s="175">
        <v>53.205683323819997</v>
      </c>
      <c r="L30" s="175">
        <v>2236.7137212514099</v>
      </c>
      <c r="M30" s="197">
        <v>0.32040299999999999</v>
      </c>
      <c r="N30" s="175">
        <v>8.2699999999999996E-3</v>
      </c>
      <c r="O30" s="25"/>
      <c r="P30" s="25"/>
      <c r="Q30" s="25"/>
    </row>
    <row r="31" spans="1:19" outlineLevel="2" x14ac:dyDescent="0.3">
      <c r="A31" s="254" t="s">
        <v>204</v>
      </c>
      <c r="B31" s="175">
        <v>4.3499999999999996</v>
      </c>
      <c r="C31" s="265">
        <v>0.75614499999999996</v>
      </c>
      <c r="D31" s="265">
        <v>28.720199999999998</v>
      </c>
      <c r="E31" s="175">
        <v>3.28923053835</v>
      </c>
      <c r="F31" s="175">
        <v>124.93286999999999</v>
      </c>
      <c r="G31" s="197">
        <v>2.2634000000000001E-2</v>
      </c>
      <c r="H31" s="175">
        <v>6.75</v>
      </c>
      <c r="I31" s="265">
        <v>0.69509500000000002</v>
      </c>
      <c r="J31" s="265">
        <v>29.2211</v>
      </c>
      <c r="K31" s="175">
        <v>4.6918914579299997</v>
      </c>
      <c r="L31" s="175">
        <v>197.242425</v>
      </c>
      <c r="M31" s="197">
        <v>2.8254000000000001E-2</v>
      </c>
      <c r="N31" s="175">
        <v>5.62E-3</v>
      </c>
      <c r="O31" s="25"/>
      <c r="P31" s="25"/>
      <c r="Q31" s="25"/>
    </row>
    <row r="32" spans="1:19" outlineLevel="2" x14ac:dyDescent="0.3">
      <c r="A32" s="254" t="s">
        <v>205</v>
      </c>
      <c r="B32" s="175">
        <v>10.611372318000001</v>
      </c>
      <c r="C32" s="265">
        <v>1.3416699999999999</v>
      </c>
      <c r="D32" s="265">
        <v>50.959829999999997</v>
      </c>
      <c r="E32" s="175">
        <v>14.23695525804</v>
      </c>
      <c r="F32" s="175">
        <v>540.75372939198996</v>
      </c>
      <c r="G32" s="197">
        <v>9.7969000000000001E-2</v>
      </c>
      <c r="H32" s="175">
        <v>13.545703985999999</v>
      </c>
      <c r="I32" s="265">
        <v>1.304135</v>
      </c>
      <c r="J32" s="265">
        <v>54.824516000000003</v>
      </c>
      <c r="K32" s="175">
        <v>17.665421749109999</v>
      </c>
      <c r="L32" s="175">
        <v>742.63666491172</v>
      </c>
      <c r="M32" s="197">
        <v>0.106381</v>
      </c>
      <c r="N32" s="175">
        <v>8.4119999999999993E-3</v>
      </c>
      <c r="O32" s="25"/>
      <c r="P32" s="25"/>
      <c r="Q32" s="25"/>
    </row>
    <row r="33" spans="1:17" outlineLevel="2" x14ac:dyDescent="0.3">
      <c r="A33" s="254" t="s">
        <v>206</v>
      </c>
      <c r="B33" s="175">
        <v>1447.1484792702599</v>
      </c>
      <c r="C33" s="265">
        <v>2.6328000000000001E-2</v>
      </c>
      <c r="D33" s="265">
        <v>1</v>
      </c>
      <c r="E33" s="175">
        <v>38.100501265609999</v>
      </c>
      <c r="F33" s="175">
        <v>1447.1484792702599</v>
      </c>
      <c r="G33" s="197">
        <v>0.26218200000000003</v>
      </c>
      <c r="H33" s="175">
        <v>1708.87666374778</v>
      </c>
      <c r="I33" s="265">
        <v>2.3786999999999999E-2</v>
      </c>
      <c r="J33" s="265">
        <v>1</v>
      </c>
      <c r="K33" s="175">
        <v>40.649793376570003</v>
      </c>
      <c r="L33" s="175">
        <v>1708.87666374778</v>
      </c>
      <c r="M33" s="197">
        <v>0.24479200000000001</v>
      </c>
      <c r="N33" s="175">
        <v>-1.7389999999999999E-2</v>
      </c>
      <c r="O33" s="25"/>
      <c r="P33" s="25"/>
      <c r="Q33" s="25"/>
    </row>
    <row r="34" spans="1:17" outlineLevel="2" x14ac:dyDescent="0.3">
      <c r="A34" s="254" t="s">
        <v>207</v>
      </c>
      <c r="B34" s="175">
        <v>133.369163942</v>
      </c>
      <c r="C34" s="265">
        <v>7.0949999999999997E-3</v>
      </c>
      <c r="D34" s="265">
        <v>0.26949000000000001</v>
      </c>
      <c r="E34" s="175">
        <v>0.94627132542000003</v>
      </c>
      <c r="F34" s="175">
        <v>35.941655990729998</v>
      </c>
      <c r="G34" s="197">
        <v>6.5120000000000004E-3</v>
      </c>
      <c r="H34" s="175">
        <v>133.369163942</v>
      </c>
      <c r="I34" s="265">
        <v>6.3480000000000003E-3</v>
      </c>
      <c r="J34" s="265">
        <v>0.26684999999999998</v>
      </c>
      <c r="K34" s="175">
        <v>0.84658439538999997</v>
      </c>
      <c r="L34" s="175">
        <v>35.589561397920001</v>
      </c>
      <c r="M34" s="197">
        <v>5.0980000000000001E-3</v>
      </c>
      <c r="N34" s="175">
        <v>-1.413E-3</v>
      </c>
      <c r="O34" s="25"/>
      <c r="P34" s="25"/>
      <c r="Q34" s="25"/>
    </row>
    <row r="35" spans="1:17" ht="14.5" outlineLevel="1" x14ac:dyDescent="0.35">
      <c r="A35" s="258" t="s">
        <v>2</v>
      </c>
      <c r="B35" s="259">
        <f t="shared" ref="B35:N35" si="2">SUM(B$36:B$39)</f>
        <v>61.14349869446</v>
      </c>
      <c r="C35" s="269">
        <f t="shared" si="2"/>
        <v>3.4792469999999995</v>
      </c>
      <c r="D35" s="269">
        <f t="shared" si="2"/>
        <v>132.15012999999999</v>
      </c>
      <c r="E35" s="259">
        <f t="shared" si="2"/>
        <v>8.7289038365499998</v>
      </c>
      <c r="F35" s="259">
        <f t="shared" si="2"/>
        <v>331.54471708272001</v>
      </c>
      <c r="G35" s="260">
        <f t="shared" si="2"/>
        <v>6.0067000000000002E-2</v>
      </c>
      <c r="H35" s="259">
        <f t="shared" si="2"/>
        <v>64.698346898929998</v>
      </c>
      <c r="I35" s="269">
        <f t="shared" si="2"/>
        <v>3.3728230000000003</v>
      </c>
      <c r="J35" s="269">
        <f t="shared" si="2"/>
        <v>141.79011600000001</v>
      </c>
      <c r="K35" s="259">
        <f t="shared" si="2"/>
        <v>6.8629393971300008</v>
      </c>
      <c r="L35" s="259">
        <f t="shared" si="2"/>
        <v>288.51110931761002</v>
      </c>
      <c r="M35" s="260">
        <f t="shared" si="2"/>
        <v>4.1328999999999998E-2</v>
      </c>
      <c r="N35" s="259">
        <f t="shared" si="2"/>
        <v>-1.8737999999999998E-2</v>
      </c>
      <c r="O35" s="25"/>
      <c r="P35" s="25"/>
      <c r="Q35" s="25"/>
    </row>
    <row r="36" spans="1:17" outlineLevel="2" x14ac:dyDescent="0.3">
      <c r="A36" s="254" t="s">
        <v>202</v>
      </c>
      <c r="B36" s="175">
        <v>3.4485596405900001</v>
      </c>
      <c r="C36" s="265">
        <v>1</v>
      </c>
      <c r="D36" s="265">
        <v>37.982399999999998</v>
      </c>
      <c r="E36" s="175">
        <v>3.4485596405900001</v>
      </c>
      <c r="F36" s="175">
        <v>130.98457169276</v>
      </c>
      <c r="G36" s="197">
        <v>2.3730999999999999E-2</v>
      </c>
      <c r="H36" s="175">
        <v>2.5775288199799999</v>
      </c>
      <c r="I36" s="265">
        <v>1</v>
      </c>
      <c r="J36" s="265">
        <v>42.039000000000001</v>
      </c>
      <c r="K36" s="175">
        <v>2.5775288199799999</v>
      </c>
      <c r="L36" s="175">
        <v>108.35673406313001</v>
      </c>
      <c r="M36" s="197">
        <v>1.5521999999999999E-2</v>
      </c>
      <c r="N36" s="175">
        <v>-8.2089999999999993E-3</v>
      </c>
      <c r="O36" s="25"/>
      <c r="P36" s="25"/>
      <c r="Q36" s="25"/>
    </row>
    <row r="37" spans="1:17" outlineLevel="2" x14ac:dyDescent="0.3">
      <c r="A37" s="254" t="s">
        <v>203</v>
      </c>
      <c r="B37" s="175">
        <v>1.4428547986</v>
      </c>
      <c r="C37" s="265">
        <v>1.1112489999999999</v>
      </c>
      <c r="D37" s="265">
        <v>42.207900000000002</v>
      </c>
      <c r="E37" s="175">
        <v>1.6033707994899999</v>
      </c>
      <c r="F37" s="175">
        <v>60.899871053829997</v>
      </c>
      <c r="G37" s="197">
        <v>1.1032999999999999E-2</v>
      </c>
      <c r="H37" s="175">
        <v>1.54726654191</v>
      </c>
      <c r="I37" s="265">
        <v>1.0449010000000001</v>
      </c>
      <c r="J37" s="265">
        <v>43.926600000000001</v>
      </c>
      <c r="K37" s="175">
        <v>1.6167406094100001</v>
      </c>
      <c r="L37" s="175">
        <v>67.966158479849994</v>
      </c>
      <c r="M37" s="197">
        <v>9.7359999999999999E-3</v>
      </c>
      <c r="N37" s="175">
        <v>-1.297E-3</v>
      </c>
      <c r="O37" s="25"/>
      <c r="P37" s="25"/>
      <c r="Q37" s="25"/>
    </row>
    <row r="38" spans="1:17" outlineLevel="2" x14ac:dyDescent="0.3">
      <c r="A38" s="254" t="s">
        <v>205</v>
      </c>
      <c r="B38" s="175">
        <v>1.6695050819999999</v>
      </c>
      <c r="C38" s="265">
        <v>1.3416699999999999</v>
      </c>
      <c r="D38" s="265">
        <v>50.959829999999997</v>
      </c>
      <c r="E38" s="175">
        <v>2.2399241533700001</v>
      </c>
      <c r="F38" s="175">
        <v>85.077695162859996</v>
      </c>
      <c r="G38" s="197">
        <v>1.5414000000000001E-2</v>
      </c>
      <c r="H38" s="175">
        <v>0.95894341599999999</v>
      </c>
      <c r="I38" s="265">
        <v>1.304135</v>
      </c>
      <c r="J38" s="265">
        <v>54.824516000000003</v>
      </c>
      <c r="K38" s="175">
        <v>1.2505913236099999</v>
      </c>
      <c r="L38" s="175">
        <v>52.57360865359</v>
      </c>
      <c r="M38" s="197">
        <v>7.5310000000000004E-3</v>
      </c>
      <c r="N38" s="175">
        <v>-7.8829999999999994E-3</v>
      </c>
      <c r="O38" s="25"/>
      <c r="P38" s="25"/>
      <c r="Q38" s="25"/>
    </row>
    <row r="39" spans="1:17" outlineLevel="2" x14ac:dyDescent="0.3">
      <c r="A39" s="254" t="s">
        <v>206</v>
      </c>
      <c r="B39" s="175">
        <v>54.582579173269998</v>
      </c>
      <c r="C39" s="265">
        <v>2.6328000000000001E-2</v>
      </c>
      <c r="D39" s="265">
        <v>1</v>
      </c>
      <c r="E39" s="175">
        <v>1.4370492430999999</v>
      </c>
      <c r="F39" s="175">
        <v>54.582579173269998</v>
      </c>
      <c r="G39" s="197">
        <v>9.8890000000000002E-3</v>
      </c>
      <c r="H39" s="175">
        <v>59.61460812104</v>
      </c>
      <c r="I39" s="265">
        <v>2.3786999999999999E-2</v>
      </c>
      <c r="J39" s="265">
        <v>1</v>
      </c>
      <c r="K39" s="175">
        <v>1.41807864413</v>
      </c>
      <c r="L39" s="175">
        <v>59.61460812104</v>
      </c>
      <c r="M39" s="197">
        <v>8.5400000000000007E-3</v>
      </c>
      <c r="N39" s="175">
        <v>-1.3489999999999999E-3</v>
      </c>
      <c r="O39" s="25"/>
      <c r="P39" s="25"/>
      <c r="Q39" s="25"/>
    </row>
    <row r="40" spans="1:17" x14ac:dyDescent="0.3">
      <c r="B40" s="24"/>
      <c r="C40" s="92"/>
      <c r="D40" s="92"/>
      <c r="E40" s="24"/>
      <c r="F40" s="24"/>
      <c r="G40" s="62"/>
      <c r="H40" s="24"/>
      <c r="I40" s="92"/>
      <c r="J40" s="92"/>
      <c r="K40" s="24"/>
      <c r="L40" s="24"/>
      <c r="M40" s="62"/>
      <c r="N40" s="24"/>
      <c r="O40" s="25"/>
      <c r="P40" s="25"/>
      <c r="Q40" s="25"/>
    </row>
    <row r="41" spans="1:17" x14ac:dyDescent="0.3">
      <c r="B41" s="24"/>
      <c r="C41" s="92"/>
      <c r="D41" s="92"/>
      <c r="E41" s="24"/>
      <c r="F41" s="24"/>
      <c r="G41" s="62"/>
      <c r="H41" s="24"/>
      <c r="I41" s="92"/>
      <c r="J41" s="92"/>
      <c r="K41" s="24"/>
      <c r="L41" s="24"/>
      <c r="M41" s="62"/>
      <c r="N41" s="24"/>
      <c r="O41" s="25"/>
      <c r="P41" s="25"/>
      <c r="Q41" s="25"/>
    </row>
    <row r="42" spans="1:17" x14ac:dyDescent="0.3">
      <c r="B42" s="24"/>
      <c r="C42" s="92"/>
      <c r="D42" s="92"/>
      <c r="E42" s="24"/>
      <c r="F42" s="24"/>
      <c r="G42" s="62"/>
      <c r="H42" s="24"/>
      <c r="I42" s="92"/>
      <c r="J42" s="92"/>
      <c r="K42" s="24"/>
      <c r="L42" s="24"/>
      <c r="M42" s="62"/>
      <c r="N42" s="24"/>
      <c r="O42" s="25"/>
      <c r="P42" s="25"/>
      <c r="Q42" s="25"/>
    </row>
    <row r="43" spans="1:17" x14ac:dyDescent="0.3">
      <c r="B43" s="24"/>
      <c r="C43" s="92"/>
      <c r="D43" s="92"/>
      <c r="E43" s="24"/>
      <c r="F43" s="24"/>
      <c r="G43" s="62"/>
      <c r="H43" s="24"/>
      <c r="I43" s="92"/>
      <c r="J43" s="92"/>
      <c r="K43" s="24"/>
      <c r="L43" s="24"/>
      <c r="M43" s="62"/>
      <c r="N43" s="24"/>
      <c r="O43" s="25"/>
      <c r="P43" s="25"/>
      <c r="Q43" s="25"/>
    </row>
    <row r="44" spans="1:17" x14ac:dyDescent="0.3">
      <c r="B44" s="24"/>
      <c r="C44" s="92"/>
      <c r="D44" s="92"/>
      <c r="E44" s="24"/>
      <c r="F44" s="24"/>
      <c r="G44" s="62"/>
      <c r="H44" s="24"/>
      <c r="I44" s="92"/>
      <c r="J44" s="92"/>
      <c r="K44" s="24"/>
      <c r="L44" s="24"/>
      <c r="M44" s="62"/>
      <c r="N44" s="24"/>
      <c r="O44" s="25"/>
      <c r="P44" s="25"/>
      <c r="Q44" s="25"/>
    </row>
    <row r="45" spans="1:17" x14ac:dyDescent="0.3">
      <c r="B45" s="24"/>
      <c r="C45" s="92"/>
      <c r="D45" s="92"/>
      <c r="E45" s="24"/>
      <c r="F45" s="24"/>
      <c r="G45" s="62"/>
      <c r="H45" s="24"/>
      <c r="I45" s="92"/>
      <c r="J45" s="92"/>
      <c r="K45" s="24"/>
      <c r="L45" s="24"/>
      <c r="M45" s="62"/>
      <c r="N45" s="24"/>
      <c r="O45" s="25"/>
      <c r="P45" s="25"/>
      <c r="Q45" s="25"/>
    </row>
    <row r="46" spans="1:17" x14ac:dyDescent="0.3">
      <c r="B46" s="24"/>
      <c r="C46" s="92"/>
      <c r="D46" s="92"/>
      <c r="E46" s="24"/>
      <c r="F46" s="24"/>
      <c r="G46" s="62"/>
      <c r="H46" s="24"/>
      <c r="I46" s="92"/>
      <c r="J46" s="92"/>
      <c r="K46" s="24"/>
      <c r="L46" s="24"/>
      <c r="M46" s="62"/>
      <c r="N46" s="24"/>
      <c r="O46" s="25"/>
      <c r="P46" s="25"/>
      <c r="Q46" s="25"/>
    </row>
    <row r="47" spans="1:17" x14ac:dyDescent="0.3">
      <c r="B47" s="24"/>
      <c r="C47" s="92"/>
      <c r="D47" s="92"/>
      <c r="E47" s="24"/>
      <c r="F47" s="24"/>
      <c r="G47" s="62"/>
      <c r="H47" s="24"/>
      <c r="I47" s="92"/>
      <c r="J47" s="92"/>
      <c r="K47" s="24"/>
      <c r="L47" s="24"/>
      <c r="M47" s="62"/>
      <c r="N47" s="24"/>
      <c r="O47" s="25"/>
      <c r="P47" s="25"/>
      <c r="Q47" s="25"/>
    </row>
    <row r="48" spans="1:17" x14ac:dyDescent="0.3">
      <c r="B48" s="24"/>
      <c r="C48" s="92"/>
      <c r="D48" s="92"/>
      <c r="E48" s="24"/>
      <c r="F48" s="24"/>
      <c r="G48" s="62"/>
      <c r="H48" s="24"/>
      <c r="I48" s="92"/>
      <c r="J48" s="92"/>
      <c r="K48" s="24"/>
      <c r="L48" s="24"/>
      <c r="M48" s="62"/>
      <c r="N48" s="24"/>
      <c r="O48" s="25"/>
      <c r="P48" s="25"/>
      <c r="Q48" s="25"/>
    </row>
    <row r="49" spans="2:17" x14ac:dyDescent="0.3">
      <c r="B49" s="24"/>
      <c r="C49" s="92"/>
      <c r="D49" s="92"/>
      <c r="E49" s="24"/>
      <c r="F49" s="24"/>
      <c r="G49" s="62"/>
      <c r="H49" s="24"/>
      <c r="I49" s="92"/>
      <c r="J49" s="92"/>
      <c r="K49" s="24"/>
      <c r="L49" s="24"/>
      <c r="M49" s="62"/>
      <c r="N49" s="24"/>
      <c r="O49" s="25"/>
      <c r="P49" s="25"/>
      <c r="Q49" s="25"/>
    </row>
    <row r="50" spans="2:17" x14ac:dyDescent="0.3">
      <c r="B50" s="24"/>
      <c r="C50" s="92"/>
      <c r="D50" s="92"/>
      <c r="E50" s="24"/>
      <c r="F50" s="24"/>
      <c r="G50" s="62"/>
      <c r="H50" s="24"/>
      <c r="I50" s="92"/>
      <c r="J50" s="92"/>
      <c r="K50" s="24"/>
      <c r="L50" s="24"/>
      <c r="M50" s="62"/>
      <c r="N50" s="24"/>
      <c r="O50" s="25"/>
      <c r="P50" s="25"/>
      <c r="Q50" s="25"/>
    </row>
    <row r="51" spans="2:17" x14ac:dyDescent="0.3">
      <c r="B51" s="24"/>
      <c r="C51" s="92"/>
      <c r="D51" s="92"/>
      <c r="E51" s="24"/>
      <c r="F51" s="24"/>
      <c r="G51" s="62"/>
      <c r="H51" s="24"/>
      <c r="I51" s="92"/>
      <c r="J51" s="92"/>
      <c r="K51" s="24"/>
      <c r="L51" s="24"/>
      <c r="M51" s="62"/>
      <c r="N51" s="24"/>
      <c r="O51" s="25"/>
      <c r="P51" s="25"/>
      <c r="Q51" s="25"/>
    </row>
    <row r="52" spans="2:17" x14ac:dyDescent="0.3">
      <c r="B52" s="24"/>
      <c r="C52" s="92"/>
      <c r="D52" s="92"/>
      <c r="E52" s="24"/>
      <c r="F52" s="24"/>
      <c r="G52" s="62"/>
      <c r="H52" s="24"/>
      <c r="I52" s="92"/>
      <c r="J52" s="92"/>
      <c r="K52" s="24"/>
      <c r="L52" s="24"/>
      <c r="M52" s="62"/>
      <c r="N52" s="24"/>
      <c r="O52" s="25"/>
      <c r="P52" s="25"/>
      <c r="Q52" s="25"/>
    </row>
    <row r="53" spans="2:17" x14ac:dyDescent="0.3">
      <c r="B53" s="24"/>
      <c r="C53" s="92"/>
      <c r="D53" s="92"/>
      <c r="E53" s="24"/>
      <c r="F53" s="24"/>
      <c r="G53" s="62"/>
      <c r="H53" s="24"/>
      <c r="I53" s="92"/>
      <c r="J53" s="92"/>
      <c r="K53" s="24"/>
      <c r="L53" s="24"/>
      <c r="M53" s="62"/>
      <c r="N53" s="24"/>
      <c r="O53" s="25"/>
      <c r="P53" s="25"/>
      <c r="Q53" s="25"/>
    </row>
    <row r="54" spans="2:17" x14ac:dyDescent="0.3">
      <c r="B54" s="24"/>
      <c r="C54" s="92"/>
      <c r="D54" s="92"/>
      <c r="E54" s="24"/>
      <c r="F54" s="24"/>
      <c r="G54" s="62"/>
      <c r="H54" s="24"/>
      <c r="I54" s="92"/>
      <c r="J54" s="92"/>
      <c r="K54" s="24"/>
      <c r="L54" s="24"/>
      <c r="M54" s="62"/>
      <c r="N54" s="24"/>
      <c r="O54" s="25"/>
      <c r="P54" s="25"/>
      <c r="Q54" s="25"/>
    </row>
    <row r="55" spans="2:17" x14ac:dyDescent="0.3">
      <c r="B55" s="24"/>
      <c r="C55" s="92"/>
      <c r="D55" s="92"/>
      <c r="E55" s="24"/>
      <c r="F55" s="24"/>
      <c r="G55" s="62"/>
      <c r="H55" s="24"/>
      <c r="I55" s="92"/>
      <c r="J55" s="92"/>
      <c r="K55" s="24"/>
      <c r="L55" s="24"/>
      <c r="M55" s="62"/>
      <c r="N55" s="24"/>
      <c r="O55" s="25"/>
      <c r="P55" s="25"/>
      <c r="Q55" s="25"/>
    </row>
    <row r="56" spans="2:17" x14ac:dyDescent="0.3">
      <c r="B56" s="24"/>
      <c r="C56" s="92"/>
      <c r="D56" s="92"/>
      <c r="E56" s="24"/>
      <c r="F56" s="24"/>
      <c r="G56" s="62"/>
      <c r="H56" s="24"/>
      <c r="I56" s="92"/>
      <c r="J56" s="92"/>
      <c r="K56" s="24"/>
      <c r="L56" s="24"/>
      <c r="M56" s="62"/>
      <c r="N56" s="24"/>
      <c r="O56" s="25"/>
      <c r="P56" s="25"/>
      <c r="Q56" s="25"/>
    </row>
    <row r="57" spans="2:17" x14ac:dyDescent="0.3">
      <c r="B57" s="24"/>
      <c r="C57" s="92"/>
      <c r="D57" s="92"/>
      <c r="E57" s="24"/>
      <c r="F57" s="24"/>
      <c r="G57" s="62"/>
      <c r="H57" s="24"/>
      <c r="I57" s="92"/>
      <c r="J57" s="92"/>
      <c r="K57" s="24"/>
      <c r="L57" s="24"/>
      <c r="M57" s="62"/>
      <c r="N57" s="24"/>
      <c r="O57" s="25"/>
      <c r="P57" s="25"/>
      <c r="Q57" s="25"/>
    </row>
    <row r="58" spans="2:17" x14ac:dyDescent="0.3">
      <c r="B58" s="24"/>
      <c r="C58" s="92"/>
      <c r="D58" s="92"/>
      <c r="E58" s="24"/>
      <c r="F58" s="24"/>
      <c r="G58" s="62"/>
      <c r="H58" s="24"/>
      <c r="I58" s="92"/>
      <c r="J58" s="92"/>
      <c r="K58" s="24"/>
      <c r="L58" s="24"/>
      <c r="M58" s="62"/>
      <c r="N58" s="24"/>
      <c r="O58" s="25"/>
      <c r="P58" s="25"/>
      <c r="Q58" s="25"/>
    </row>
    <row r="59" spans="2:17" x14ac:dyDescent="0.3">
      <c r="B59" s="24"/>
      <c r="C59" s="92"/>
      <c r="D59" s="92"/>
      <c r="E59" s="24"/>
      <c r="F59" s="24"/>
      <c r="G59" s="62"/>
      <c r="H59" s="24"/>
      <c r="I59" s="92"/>
      <c r="J59" s="92"/>
      <c r="K59" s="24"/>
      <c r="L59" s="24"/>
      <c r="M59" s="62"/>
      <c r="N59" s="24"/>
      <c r="O59" s="25"/>
      <c r="P59" s="25"/>
      <c r="Q59" s="25"/>
    </row>
    <row r="60" spans="2:17" x14ac:dyDescent="0.3">
      <c r="B60" s="24"/>
      <c r="C60" s="92"/>
      <c r="D60" s="92"/>
      <c r="E60" s="24"/>
      <c r="F60" s="24"/>
      <c r="G60" s="62"/>
      <c r="H60" s="24"/>
      <c r="I60" s="92"/>
      <c r="J60" s="92"/>
      <c r="K60" s="24"/>
      <c r="L60" s="24"/>
      <c r="M60" s="62"/>
      <c r="N60" s="24"/>
      <c r="O60" s="25"/>
      <c r="P60" s="25"/>
      <c r="Q60" s="25"/>
    </row>
    <row r="61" spans="2:17" x14ac:dyDescent="0.3">
      <c r="B61" s="24"/>
      <c r="C61" s="92"/>
      <c r="D61" s="92"/>
      <c r="E61" s="24"/>
      <c r="F61" s="24"/>
      <c r="G61" s="62"/>
      <c r="H61" s="24"/>
      <c r="I61" s="92"/>
      <c r="J61" s="92"/>
      <c r="K61" s="24"/>
      <c r="L61" s="24"/>
      <c r="M61" s="62"/>
      <c r="N61" s="24"/>
      <c r="O61" s="25"/>
      <c r="P61" s="25"/>
      <c r="Q61" s="25"/>
    </row>
    <row r="62" spans="2:17" x14ac:dyDescent="0.3">
      <c r="B62" s="24"/>
      <c r="C62" s="92"/>
      <c r="D62" s="92"/>
      <c r="E62" s="24"/>
      <c r="F62" s="24"/>
      <c r="G62" s="62"/>
      <c r="H62" s="24"/>
      <c r="I62" s="92"/>
      <c r="J62" s="92"/>
      <c r="K62" s="24"/>
      <c r="L62" s="24"/>
      <c r="M62" s="62"/>
      <c r="N62" s="24"/>
      <c r="O62" s="25"/>
      <c r="P62" s="25"/>
      <c r="Q62" s="25"/>
    </row>
    <row r="63" spans="2:17" x14ac:dyDescent="0.3">
      <c r="B63" s="24"/>
      <c r="C63" s="92"/>
      <c r="D63" s="92"/>
      <c r="E63" s="24"/>
      <c r="F63" s="24"/>
      <c r="G63" s="62"/>
      <c r="H63" s="24"/>
      <c r="I63" s="92"/>
      <c r="J63" s="92"/>
      <c r="K63" s="24"/>
      <c r="L63" s="24"/>
      <c r="M63" s="62"/>
      <c r="N63" s="24"/>
      <c r="O63" s="25"/>
      <c r="P63" s="25"/>
      <c r="Q63" s="25"/>
    </row>
    <row r="64" spans="2:17" x14ac:dyDescent="0.3">
      <c r="B64" s="24"/>
      <c r="C64" s="92"/>
      <c r="D64" s="92"/>
      <c r="E64" s="24"/>
      <c r="F64" s="24"/>
      <c r="G64" s="62"/>
      <c r="H64" s="24"/>
      <c r="I64" s="92"/>
      <c r="J64" s="92"/>
      <c r="K64" s="24"/>
      <c r="L64" s="24"/>
      <c r="M64" s="62"/>
      <c r="N64" s="24"/>
      <c r="O64" s="25"/>
      <c r="P64" s="25"/>
      <c r="Q64" s="25"/>
    </row>
    <row r="65" spans="2:17" x14ac:dyDescent="0.3">
      <c r="B65" s="24"/>
      <c r="C65" s="92"/>
      <c r="D65" s="92"/>
      <c r="E65" s="24"/>
      <c r="F65" s="24"/>
      <c r="G65" s="62"/>
      <c r="H65" s="24"/>
      <c r="I65" s="92"/>
      <c r="J65" s="92"/>
      <c r="K65" s="24"/>
      <c r="L65" s="24"/>
      <c r="M65" s="62"/>
      <c r="N65" s="24"/>
      <c r="O65" s="25"/>
      <c r="P65" s="25"/>
      <c r="Q65" s="25"/>
    </row>
    <row r="66" spans="2:17" x14ac:dyDescent="0.3">
      <c r="B66" s="24"/>
      <c r="C66" s="92"/>
      <c r="D66" s="92"/>
      <c r="E66" s="24"/>
      <c r="F66" s="24"/>
      <c r="G66" s="62"/>
      <c r="H66" s="24"/>
      <c r="I66" s="92"/>
      <c r="J66" s="92"/>
      <c r="K66" s="24"/>
      <c r="L66" s="24"/>
      <c r="M66" s="62"/>
      <c r="N66" s="24"/>
      <c r="O66" s="25"/>
      <c r="P66" s="25"/>
      <c r="Q66" s="25"/>
    </row>
    <row r="67" spans="2:17" x14ac:dyDescent="0.3">
      <c r="B67" s="24"/>
      <c r="C67" s="92"/>
      <c r="D67" s="92"/>
      <c r="E67" s="24"/>
      <c r="F67" s="24"/>
      <c r="G67" s="62"/>
      <c r="H67" s="24"/>
      <c r="I67" s="92"/>
      <c r="J67" s="92"/>
      <c r="K67" s="24"/>
      <c r="L67" s="24"/>
      <c r="M67" s="62"/>
      <c r="N67" s="24"/>
      <c r="O67" s="25"/>
      <c r="P67" s="25"/>
      <c r="Q67" s="25"/>
    </row>
    <row r="68" spans="2:17" x14ac:dyDescent="0.3">
      <c r="B68" s="24"/>
      <c r="C68" s="92"/>
      <c r="D68" s="92"/>
      <c r="E68" s="24"/>
      <c r="F68" s="24"/>
      <c r="G68" s="62"/>
      <c r="H68" s="24"/>
      <c r="I68" s="92"/>
      <c r="J68" s="92"/>
      <c r="K68" s="24"/>
      <c r="L68" s="24"/>
      <c r="M68" s="62"/>
      <c r="N68" s="24"/>
      <c r="O68" s="25"/>
      <c r="P68" s="25"/>
      <c r="Q68" s="25"/>
    </row>
    <row r="69" spans="2:17" x14ac:dyDescent="0.3">
      <c r="B69" s="24"/>
      <c r="C69" s="92"/>
      <c r="D69" s="92"/>
      <c r="E69" s="24"/>
      <c r="F69" s="24"/>
      <c r="G69" s="62"/>
      <c r="H69" s="24"/>
      <c r="I69" s="92"/>
      <c r="J69" s="92"/>
      <c r="K69" s="24"/>
      <c r="L69" s="24"/>
      <c r="M69" s="62"/>
      <c r="N69" s="24"/>
      <c r="O69" s="25"/>
      <c r="P69" s="25"/>
      <c r="Q69" s="25"/>
    </row>
    <row r="70" spans="2:17" x14ac:dyDescent="0.3">
      <c r="B70" s="24"/>
      <c r="C70" s="92"/>
      <c r="D70" s="92"/>
      <c r="E70" s="24"/>
      <c r="F70" s="24"/>
      <c r="G70" s="62"/>
      <c r="H70" s="24"/>
      <c r="I70" s="92"/>
      <c r="J70" s="92"/>
      <c r="K70" s="24"/>
      <c r="L70" s="24"/>
      <c r="M70" s="62"/>
      <c r="N70" s="24"/>
      <c r="O70" s="25"/>
      <c r="P70" s="25"/>
      <c r="Q70" s="25"/>
    </row>
    <row r="71" spans="2:17" x14ac:dyDescent="0.3">
      <c r="B71" s="24"/>
      <c r="C71" s="92"/>
      <c r="D71" s="92"/>
      <c r="E71" s="24"/>
      <c r="F71" s="24"/>
      <c r="G71" s="62"/>
      <c r="H71" s="24"/>
      <c r="I71" s="92"/>
      <c r="J71" s="92"/>
      <c r="K71" s="24"/>
      <c r="L71" s="24"/>
      <c r="M71" s="62"/>
      <c r="N71" s="24"/>
      <c r="O71" s="25"/>
      <c r="P71" s="25"/>
      <c r="Q71" s="25"/>
    </row>
    <row r="72" spans="2:17" x14ac:dyDescent="0.3">
      <c r="B72" s="24"/>
      <c r="C72" s="92"/>
      <c r="D72" s="92"/>
      <c r="E72" s="24"/>
      <c r="F72" s="24"/>
      <c r="G72" s="62"/>
      <c r="H72" s="24"/>
      <c r="I72" s="92"/>
      <c r="J72" s="92"/>
      <c r="K72" s="24"/>
      <c r="L72" s="24"/>
      <c r="M72" s="62"/>
      <c r="N72" s="24"/>
      <c r="O72" s="25"/>
      <c r="P72" s="25"/>
      <c r="Q72" s="25"/>
    </row>
    <row r="73" spans="2:17" x14ac:dyDescent="0.3">
      <c r="B73" s="24"/>
      <c r="C73" s="92"/>
      <c r="D73" s="92"/>
      <c r="E73" s="24"/>
      <c r="F73" s="24"/>
      <c r="G73" s="62"/>
      <c r="H73" s="24"/>
      <c r="I73" s="92"/>
      <c r="J73" s="92"/>
      <c r="K73" s="24"/>
      <c r="L73" s="24"/>
      <c r="M73" s="62"/>
      <c r="N73" s="24"/>
      <c r="O73" s="25"/>
      <c r="P73" s="25"/>
      <c r="Q73" s="25"/>
    </row>
    <row r="74" spans="2:17" x14ac:dyDescent="0.3">
      <c r="B74" s="24"/>
      <c r="C74" s="92"/>
      <c r="D74" s="92"/>
      <c r="E74" s="24"/>
      <c r="F74" s="24"/>
      <c r="G74" s="62"/>
      <c r="H74" s="24"/>
      <c r="I74" s="92"/>
      <c r="J74" s="92"/>
      <c r="K74" s="24"/>
      <c r="L74" s="24"/>
      <c r="M74" s="62"/>
      <c r="N74" s="24"/>
      <c r="O74" s="25"/>
      <c r="P74" s="25"/>
      <c r="Q74" s="25"/>
    </row>
    <row r="75" spans="2:17" x14ac:dyDescent="0.3">
      <c r="B75" s="24"/>
      <c r="C75" s="92"/>
      <c r="D75" s="92"/>
      <c r="E75" s="24"/>
      <c r="F75" s="24"/>
      <c r="G75" s="62"/>
      <c r="H75" s="24"/>
      <c r="I75" s="92"/>
      <c r="J75" s="92"/>
      <c r="K75" s="24"/>
      <c r="L75" s="24"/>
      <c r="M75" s="62"/>
      <c r="N75" s="24"/>
      <c r="O75" s="25"/>
      <c r="P75" s="25"/>
      <c r="Q75" s="25"/>
    </row>
    <row r="76" spans="2:17" x14ac:dyDescent="0.3">
      <c r="B76" s="24"/>
      <c r="C76" s="92"/>
      <c r="D76" s="92"/>
      <c r="E76" s="24"/>
      <c r="F76" s="24"/>
      <c r="G76" s="62"/>
      <c r="H76" s="24"/>
      <c r="I76" s="92"/>
      <c r="J76" s="92"/>
      <c r="K76" s="24"/>
      <c r="L76" s="24"/>
      <c r="M76" s="62"/>
      <c r="N76" s="24"/>
      <c r="O76" s="25"/>
      <c r="P76" s="25"/>
      <c r="Q76" s="25"/>
    </row>
    <row r="77" spans="2:17" x14ac:dyDescent="0.3">
      <c r="B77" s="24"/>
      <c r="C77" s="92"/>
      <c r="D77" s="92"/>
      <c r="E77" s="24"/>
      <c r="F77" s="24"/>
      <c r="G77" s="62"/>
      <c r="H77" s="24"/>
      <c r="I77" s="92"/>
      <c r="J77" s="92"/>
      <c r="K77" s="24"/>
      <c r="L77" s="24"/>
      <c r="M77" s="62"/>
      <c r="N77" s="24"/>
      <c r="O77" s="25"/>
      <c r="P77" s="25"/>
      <c r="Q77" s="25"/>
    </row>
    <row r="78" spans="2:17" x14ac:dyDescent="0.3">
      <c r="B78" s="24"/>
      <c r="C78" s="92"/>
      <c r="D78" s="92"/>
      <c r="E78" s="24"/>
      <c r="F78" s="24"/>
      <c r="G78" s="62"/>
      <c r="H78" s="24"/>
      <c r="I78" s="92"/>
      <c r="J78" s="92"/>
      <c r="K78" s="24"/>
      <c r="L78" s="24"/>
      <c r="M78" s="62"/>
      <c r="N78" s="24"/>
      <c r="O78" s="25"/>
      <c r="P78" s="25"/>
      <c r="Q78" s="25"/>
    </row>
    <row r="79" spans="2:17" x14ac:dyDescent="0.3">
      <c r="B79" s="24"/>
      <c r="C79" s="92"/>
      <c r="D79" s="92"/>
      <c r="E79" s="24"/>
      <c r="F79" s="24"/>
      <c r="G79" s="62"/>
      <c r="H79" s="24"/>
      <c r="I79" s="92"/>
      <c r="J79" s="92"/>
      <c r="K79" s="24"/>
      <c r="L79" s="24"/>
      <c r="M79" s="62"/>
      <c r="N79" s="24"/>
      <c r="O79" s="25"/>
      <c r="P79" s="25"/>
      <c r="Q79" s="25"/>
    </row>
    <row r="80" spans="2:17" x14ac:dyDescent="0.3">
      <c r="B80" s="24"/>
      <c r="C80" s="92"/>
      <c r="D80" s="92"/>
      <c r="E80" s="24"/>
      <c r="F80" s="24"/>
      <c r="G80" s="62"/>
      <c r="H80" s="24"/>
      <c r="I80" s="92"/>
      <c r="J80" s="92"/>
      <c r="K80" s="24"/>
      <c r="L80" s="24"/>
      <c r="M80" s="62"/>
      <c r="N80" s="24"/>
      <c r="O80" s="25"/>
      <c r="P80" s="25"/>
      <c r="Q80" s="25"/>
    </row>
    <row r="81" spans="2:17" x14ac:dyDescent="0.3">
      <c r="B81" s="24"/>
      <c r="C81" s="92"/>
      <c r="D81" s="92"/>
      <c r="E81" s="24"/>
      <c r="F81" s="24"/>
      <c r="G81" s="62"/>
      <c r="H81" s="24"/>
      <c r="I81" s="92"/>
      <c r="J81" s="92"/>
      <c r="K81" s="24"/>
      <c r="L81" s="24"/>
      <c r="M81" s="62"/>
      <c r="N81" s="24"/>
      <c r="O81" s="25"/>
      <c r="P81" s="25"/>
      <c r="Q81" s="25"/>
    </row>
    <row r="82" spans="2:17" x14ac:dyDescent="0.3">
      <c r="B82" s="24"/>
      <c r="C82" s="92"/>
      <c r="D82" s="92"/>
      <c r="E82" s="24"/>
      <c r="F82" s="24"/>
      <c r="G82" s="62"/>
      <c r="H82" s="24"/>
      <c r="I82" s="92"/>
      <c r="J82" s="92"/>
      <c r="K82" s="24"/>
      <c r="L82" s="24"/>
      <c r="M82" s="62"/>
      <c r="N82" s="24"/>
      <c r="O82" s="25"/>
      <c r="P82" s="25"/>
      <c r="Q82" s="25"/>
    </row>
    <row r="83" spans="2:17" x14ac:dyDescent="0.3">
      <c r="B83" s="24"/>
      <c r="C83" s="92"/>
      <c r="D83" s="92"/>
      <c r="E83" s="24"/>
      <c r="F83" s="24"/>
      <c r="G83" s="62"/>
      <c r="H83" s="24"/>
      <c r="I83" s="92"/>
      <c r="J83" s="92"/>
      <c r="K83" s="24"/>
      <c r="L83" s="24"/>
      <c r="M83" s="62"/>
      <c r="N83" s="24"/>
      <c r="O83" s="25"/>
      <c r="P83" s="25"/>
      <c r="Q83" s="25"/>
    </row>
    <row r="84" spans="2:17" x14ac:dyDescent="0.3">
      <c r="B84" s="24"/>
      <c r="C84" s="92"/>
      <c r="D84" s="92"/>
      <c r="E84" s="24"/>
      <c r="F84" s="24"/>
      <c r="G84" s="62"/>
      <c r="H84" s="24"/>
      <c r="I84" s="92"/>
      <c r="J84" s="92"/>
      <c r="K84" s="24"/>
      <c r="L84" s="24"/>
      <c r="M84" s="62"/>
      <c r="N84" s="24"/>
      <c r="O84" s="25"/>
      <c r="P84" s="25"/>
      <c r="Q84" s="25"/>
    </row>
    <row r="85" spans="2:17" x14ac:dyDescent="0.3">
      <c r="B85" s="24"/>
      <c r="C85" s="92"/>
      <c r="D85" s="92"/>
      <c r="E85" s="24"/>
      <c r="F85" s="24"/>
      <c r="G85" s="62"/>
      <c r="H85" s="24"/>
      <c r="I85" s="92"/>
      <c r="J85" s="92"/>
      <c r="K85" s="24"/>
      <c r="L85" s="24"/>
      <c r="M85" s="62"/>
      <c r="N85" s="24"/>
      <c r="O85" s="25"/>
      <c r="P85" s="25"/>
      <c r="Q85" s="25"/>
    </row>
    <row r="86" spans="2:17" x14ac:dyDescent="0.3">
      <c r="B86" s="24"/>
      <c r="C86" s="92"/>
      <c r="D86" s="92"/>
      <c r="E86" s="24"/>
      <c r="F86" s="24"/>
      <c r="G86" s="62"/>
      <c r="H86" s="24"/>
      <c r="I86" s="92"/>
      <c r="J86" s="92"/>
      <c r="K86" s="24"/>
      <c r="L86" s="24"/>
      <c r="M86" s="62"/>
      <c r="N86" s="24"/>
      <c r="O86" s="25"/>
      <c r="P86" s="25"/>
      <c r="Q86" s="25"/>
    </row>
    <row r="87" spans="2:17" x14ac:dyDescent="0.3">
      <c r="B87" s="24"/>
      <c r="C87" s="92"/>
      <c r="D87" s="92"/>
      <c r="E87" s="24"/>
      <c r="F87" s="24"/>
      <c r="G87" s="62"/>
      <c r="H87" s="24"/>
      <c r="I87" s="92"/>
      <c r="J87" s="92"/>
      <c r="K87" s="24"/>
      <c r="L87" s="24"/>
      <c r="M87" s="62"/>
      <c r="N87" s="24"/>
      <c r="O87" s="25"/>
      <c r="P87" s="25"/>
      <c r="Q87" s="25"/>
    </row>
    <row r="88" spans="2:17" x14ac:dyDescent="0.3">
      <c r="B88" s="24"/>
      <c r="C88" s="92"/>
      <c r="D88" s="92"/>
      <c r="E88" s="24"/>
      <c r="F88" s="24"/>
      <c r="G88" s="62"/>
      <c r="H88" s="24"/>
      <c r="I88" s="92"/>
      <c r="J88" s="92"/>
      <c r="K88" s="24"/>
      <c r="L88" s="24"/>
      <c r="M88" s="62"/>
      <c r="N88" s="24"/>
      <c r="O88" s="25"/>
      <c r="P88" s="25"/>
      <c r="Q88" s="25"/>
    </row>
    <row r="89" spans="2:17" x14ac:dyDescent="0.3">
      <c r="B89" s="24"/>
      <c r="C89" s="92"/>
      <c r="D89" s="92"/>
      <c r="E89" s="24"/>
      <c r="F89" s="24"/>
      <c r="G89" s="62"/>
      <c r="H89" s="24"/>
      <c r="I89" s="92"/>
      <c r="J89" s="92"/>
      <c r="K89" s="24"/>
      <c r="L89" s="24"/>
      <c r="M89" s="62"/>
      <c r="N89" s="24"/>
      <c r="O89" s="25"/>
      <c r="P89" s="25"/>
      <c r="Q89" s="25"/>
    </row>
    <row r="90" spans="2:17" x14ac:dyDescent="0.3">
      <c r="B90" s="24"/>
      <c r="C90" s="92"/>
      <c r="D90" s="92"/>
      <c r="E90" s="24"/>
      <c r="F90" s="24"/>
      <c r="G90" s="62"/>
      <c r="H90" s="24"/>
      <c r="I90" s="92"/>
      <c r="J90" s="92"/>
      <c r="K90" s="24"/>
      <c r="L90" s="24"/>
      <c r="M90" s="62"/>
      <c r="N90" s="24"/>
      <c r="O90" s="25"/>
      <c r="P90" s="25"/>
      <c r="Q90" s="25"/>
    </row>
    <row r="91" spans="2:17" x14ac:dyDescent="0.3">
      <c r="B91" s="24"/>
      <c r="C91" s="92"/>
      <c r="D91" s="92"/>
      <c r="E91" s="24"/>
      <c r="F91" s="24"/>
      <c r="G91" s="62"/>
      <c r="H91" s="24"/>
      <c r="I91" s="92"/>
      <c r="J91" s="92"/>
      <c r="K91" s="24"/>
      <c r="L91" s="24"/>
      <c r="M91" s="62"/>
      <c r="N91" s="24"/>
      <c r="O91" s="25"/>
      <c r="P91" s="25"/>
      <c r="Q91" s="25"/>
    </row>
    <row r="92" spans="2:17" x14ac:dyDescent="0.3">
      <c r="B92" s="24"/>
      <c r="C92" s="92"/>
      <c r="D92" s="92"/>
      <c r="E92" s="24"/>
      <c r="F92" s="24"/>
      <c r="G92" s="62"/>
      <c r="H92" s="24"/>
      <c r="I92" s="92"/>
      <c r="J92" s="92"/>
      <c r="K92" s="24"/>
      <c r="L92" s="24"/>
      <c r="M92" s="62"/>
      <c r="N92" s="24"/>
      <c r="O92" s="25"/>
      <c r="P92" s="25"/>
      <c r="Q92" s="25"/>
    </row>
    <row r="93" spans="2:17" x14ac:dyDescent="0.3">
      <c r="B93" s="24"/>
      <c r="C93" s="92"/>
      <c r="D93" s="92"/>
      <c r="E93" s="24"/>
      <c r="F93" s="24"/>
      <c r="G93" s="62"/>
      <c r="H93" s="24"/>
      <c r="I93" s="92"/>
      <c r="J93" s="92"/>
      <c r="K93" s="24"/>
      <c r="L93" s="24"/>
      <c r="M93" s="62"/>
      <c r="N93" s="24"/>
      <c r="O93" s="25"/>
      <c r="P93" s="25"/>
      <c r="Q93" s="25"/>
    </row>
    <row r="94" spans="2:17" x14ac:dyDescent="0.3">
      <c r="B94" s="24"/>
      <c r="C94" s="92"/>
      <c r="D94" s="92"/>
      <c r="E94" s="24"/>
      <c r="F94" s="24"/>
      <c r="G94" s="62"/>
      <c r="H94" s="24"/>
      <c r="I94" s="92"/>
      <c r="J94" s="92"/>
      <c r="K94" s="24"/>
      <c r="L94" s="24"/>
      <c r="M94" s="62"/>
      <c r="N94" s="24"/>
      <c r="O94" s="25"/>
      <c r="P94" s="25"/>
      <c r="Q94" s="25"/>
    </row>
    <row r="95" spans="2:17" x14ac:dyDescent="0.3">
      <c r="B95" s="24"/>
      <c r="C95" s="92"/>
      <c r="D95" s="92"/>
      <c r="E95" s="24"/>
      <c r="F95" s="24"/>
      <c r="G95" s="62"/>
      <c r="H95" s="24"/>
      <c r="I95" s="92"/>
      <c r="J95" s="92"/>
      <c r="K95" s="24"/>
      <c r="L95" s="24"/>
      <c r="M95" s="62"/>
      <c r="N95" s="24"/>
      <c r="O95" s="25"/>
      <c r="P95" s="25"/>
      <c r="Q95" s="25"/>
    </row>
    <row r="96" spans="2:17" x14ac:dyDescent="0.3">
      <c r="B96" s="24"/>
      <c r="C96" s="92"/>
      <c r="D96" s="92"/>
      <c r="E96" s="24"/>
      <c r="F96" s="24"/>
      <c r="G96" s="62"/>
      <c r="H96" s="24"/>
      <c r="I96" s="92"/>
      <c r="J96" s="92"/>
      <c r="K96" s="24"/>
      <c r="L96" s="24"/>
      <c r="M96" s="62"/>
      <c r="N96" s="24"/>
      <c r="O96" s="25"/>
      <c r="P96" s="25"/>
      <c r="Q96" s="25"/>
    </row>
    <row r="97" spans="2:17" x14ac:dyDescent="0.3">
      <c r="B97" s="24"/>
      <c r="C97" s="92"/>
      <c r="D97" s="92"/>
      <c r="E97" s="24"/>
      <c r="F97" s="24"/>
      <c r="G97" s="62"/>
      <c r="H97" s="24"/>
      <c r="I97" s="92"/>
      <c r="J97" s="92"/>
      <c r="K97" s="24"/>
      <c r="L97" s="24"/>
      <c r="M97" s="62"/>
      <c r="N97" s="24"/>
      <c r="O97" s="25"/>
      <c r="P97" s="25"/>
      <c r="Q97" s="25"/>
    </row>
    <row r="98" spans="2:17" x14ac:dyDescent="0.3">
      <c r="B98" s="24"/>
      <c r="C98" s="92"/>
      <c r="D98" s="92"/>
      <c r="E98" s="24"/>
      <c r="F98" s="24"/>
      <c r="G98" s="62"/>
      <c r="H98" s="24"/>
      <c r="I98" s="92"/>
      <c r="J98" s="92"/>
      <c r="K98" s="24"/>
      <c r="L98" s="24"/>
      <c r="M98" s="62"/>
      <c r="N98" s="24"/>
      <c r="O98" s="25"/>
      <c r="P98" s="25"/>
      <c r="Q98" s="25"/>
    </row>
    <row r="99" spans="2:17" x14ac:dyDescent="0.3">
      <c r="B99" s="24"/>
      <c r="C99" s="92"/>
      <c r="D99" s="92"/>
      <c r="E99" s="24"/>
      <c r="F99" s="24"/>
      <c r="G99" s="62"/>
      <c r="H99" s="24"/>
      <c r="I99" s="92"/>
      <c r="J99" s="92"/>
      <c r="K99" s="24"/>
      <c r="L99" s="24"/>
      <c r="M99" s="62"/>
      <c r="N99" s="24"/>
      <c r="O99" s="25"/>
      <c r="P99" s="25"/>
      <c r="Q99" s="25"/>
    </row>
    <row r="100" spans="2:17" x14ac:dyDescent="0.3">
      <c r="B100" s="24"/>
      <c r="C100" s="92"/>
      <c r="D100" s="92"/>
      <c r="E100" s="24"/>
      <c r="F100" s="24"/>
      <c r="G100" s="62"/>
      <c r="H100" s="24"/>
      <c r="I100" s="92"/>
      <c r="J100" s="92"/>
      <c r="K100" s="24"/>
      <c r="L100" s="24"/>
      <c r="M100" s="62"/>
      <c r="N100" s="24"/>
      <c r="O100" s="25"/>
      <c r="P100" s="25"/>
      <c r="Q100" s="25"/>
    </row>
    <row r="101" spans="2:17" x14ac:dyDescent="0.3">
      <c r="B101" s="24"/>
      <c r="C101" s="92"/>
      <c r="D101" s="92"/>
      <c r="E101" s="24"/>
      <c r="F101" s="24"/>
      <c r="G101" s="62"/>
      <c r="H101" s="24"/>
      <c r="I101" s="92"/>
      <c r="J101" s="92"/>
      <c r="K101" s="24"/>
      <c r="L101" s="24"/>
      <c r="M101" s="62"/>
      <c r="N101" s="24"/>
      <c r="O101" s="25"/>
      <c r="P101" s="25"/>
      <c r="Q101" s="25"/>
    </row>
    <row r="102" spans="2:17" x14ac:dyDescent="0.3">
      <c r="B102" s="24"/>
      <c r="C102" s="92"/>
      <c r="D102" s="92"/>
      <c r="E102" s="24"/>
      <c r="F102" s="24"/>
      <c r="G102" s="62"/>
      <c r="H102" s="24"/>
      <c r="I102" s="92"/>
      <c r="J102" s="92"/>
      <c r="K102" s="24"/>
      <c r="L102" s="24"/>
      <c r="M102" s="62"/>
      <c r="N102" s="24"/>
      <c r="O102" s="25"/>
      <c r="P102" s="25"/>
      <c r="Q102" s="25"/>
    </row>
    <row r="103" spans="2:17" x14ac:dyDescent="0.3">
      <c r="B103" s="24"/>
      <c r="C103" s="92"/>
      <c r="D103" s="92"/>
      <c r="E103" s="24"/>
      <c r="F103" s="24"/>
      <c r="G103" s="62"/>
      <c r="H103" s="24"/>
      <c r="I103" s="92"/>
      <c r="J103" s="92"/>
      <c r="K103" s="24"/>
      <c r="L103" s="24"/>
      <c r="M103" s="62"/>
      <c r="N103" s="24"/>
      <c r="O103" s="25"/>
      <c r="P103" s="25"/>
      <c r="Q103" s="25"/>
    </row>
    <row r="104" spans="2:17" x14ac:dyDescent="0.3">
      <c r="B104" s="24"/>
      <c r="C104" s="92"/>
      <c r="D104" s="92"/>
      <c r="E104" s="24"/>
      <c r="F104" s="24"/>
      <c r="G104" s="62"/>
      <c r="H104" s="24"/>
      <c r="I104" s="92"/>
      <c r="J104" s="92"/>
      <c r="K104" s="24"/>
      <c r="L104" s="24"/>
      <c r="M104" s="62"/>
      <c r="N104" s="24"/>
      <c r="O104" s="25"/>
      <c r="P104" s="25"/>
      <c r="Q104" s="25"/>
    </row>
    <row r="105" spans="2:17" x14ac:dyDescent="0.3">
      <c r="B105" s="24"/>
      <c r="C105" s="92"/>
      <c r="D105" s="92"/>
      <c r="E105" s="24"/>
      <c r="F105" s="24"/>
      <c r="G105" s="62"/>
      <c r="H105" s="24"/>
      <c r="I105" s="92"/>
      <c r="J105" s="92"/>
      <c r="K105" s="24"/>
      <c r="L105" s="24"/>
      <c r="M105" s="62"/>
      <c r="N105" s="24"/>
      <c r="O105" s="25"/>
      <c r="P105" s="25"/>
      <c r="Q105" s="25"/>
    </row>
    <row r="106" spans="2:17" x14ac:dyDescent="0.3">
      <c r="B106" s="24"/>
      <c r="C106" s="92"/>
      <c r="D106" s="92"/>
      <c r="E106" s="24"/>
      <c r="F106" s="24"/>
      <c r="G106" s="62"/>
      <c r="H106" s="24"/>
      <c r="I106" s="92"/>
      <c r="J106" s="92"/>
      <c r="K106" s="24"/>
      <c r="L106" s="24"/>
      <c r="M106" s="62"/>
      <c r="N106" s="24"/>
      <c r="O106" s="25"/>
      <c r="P106" s="25"/>
      <c r="Q106" s="25"/>
    </row>
    <row r="107" spans="2:17" x14ac:dyDescent="0.3">
      <c r="B107" s="24"/>
      <c r="C107" s="92"/>
      <c r="D107" s="92"/>
      <c r="E107" s="24"/>
      <c r="F107" s="24"/>
      <c r="G107" s="62"/>
      <c r="H107" s="24"/>
      <c r="I107" s="92"/>
      <c r="J107" s="92"/>
      <c r="K107" s="24"/>
      <c r="L107" s="24"/>
      <c r="M107" s="62"/>
      <c r="N107" s="24"/>
      <c r="O107" s="25"/>
      <c r="P107" s="25"/>
      <c r="Q107" s="25"/>
    </row>
    <row r="108" spans="2:17" x14ac:dyDescent="0.3">
      <c r="B108" s="24"/>
      <c r="C108" s="92"/>
      <c r="D108" s="92"/>
      <c r="E108" s="24"/>
      <c r="F108" s="24"/>
      <c r="G108" s="62"/>
      <c r="H108" s="24"/>
      <c r="I108" s="92"/>
      <c r="J108" s="92"/>
      <c r="K108" s="24"/>
      <c r="L108" s="24"/>
      <c r="M108" s="62"/>
      <c r="N108" s="24"/>
      <c r="O108" s="25"/>
      <c r="P108" s="25"/>
      <c r="Q108" s="25"/>
    </row>
    <row r="109" spans="2:17" x14ac:dyDescent="0.3">
      <c r="B109" s="24"/>
      <c r="C109" s="92"/>
      <c r="D109" s="92"/>
      <c r="E109" s="24"/>
      <c r="F109" s="24"/>
      <c r="G109" s="62"/>
      <c r="H109" s="24"/>
      <c r="I109" s="92"/>
      <c r="J109" s="92"/>
      <c r="K109" s="24"/>
      <c r="L109" s="24"/>
      <c r="M109" s="62"/>
      <c r="N109" s="24"/>
      <c r="O109" s="25"/>
      <c r="P109" s="25"/>
      <c r="Q109" s="25"/>
    </row>
    <row r="110" spans="2:17" x14ac:dyDescent="0.3">
      <c r="B110" s="24"/>
      <c r="C110" s="92"/>
      <c r="D110" s="92"/>
      <c r="E110" s="24"/>
      <c r="F110" s="24"/>
      <c r="G110" s="62"/>
      <c r="H110" s="24"/>
      <c r="I110" s="92"/>
      <c r="J110" s="92"/>
      <c r="K110" s="24"/>
      <c r="L110" s="24"/>
      <c r="M110" s="62"/>
      <c r="N110" s="24"/>
      <c r="O110" s="25"/>
      <c r="P110" s="25"/>
      <c r="Q110" s="25"/>
    </row>
    <row r="111" spans="2:17" x14ac:dyDescent="0.3">
      <c r="B111" s="24"/>
      <c r="C111" s="92"/>
      <c r="D111" s="92"/>
      <c r="E111" s="24"/>
      <c r="F111" s="24"/>
      <c r="G111" s="62"/>
      <c r="H111" s="24"/>
      <c r="I111" s="92"/>
      <c r="J111" s="92"/>
      <c r="K111" s="24"/>
      <c r="L111" s="24"/>
      <c r="M111" s="62"/>
      <c r="N111" s="24"/>
      <c r="O111" s="25"/>
      <c r="P111" s="25"/>
      <c r="Q111" s="25"/>
    </row>
    <row r="112" spans="2:17" x14ac:dyDescent="0.3">
      <c r="B112" s="24"/>
      <c r="C112" s="92"/>
      <c r="D112" s="92"/>
      <c r="E112" s="24"/>
      <c r="F112" s="24"/>
      <c r="G112" s="62"/>
      <c r="H112" s="24"/>
      <c r="I112" s="92"/>
      <c r="J112" s="92"/>
      <c r="K112" s="24"/>
      <c r="L112" s="24"/>
      <c r="M112" s="62"/>
      <c r="N112" s="24"/>
      <c r="O112" s="25"/>
      <c r="P112" s="25"/>
      <c r="Q112" s="25"/>
    </row>
    <row r="113" spans="2:17" x14ac:dyDescent="0.3">
      <c r="B113" s="24"/>
      <c r="C113" s="92"/>
      <c r="D113" s="92"/>
      <c r="E113" s="24"/>
      <c r="F113" s="24"/>
      <c r="G113" s="62"/>
      <c r="H113" s="24"/>
      <c r="I113" s="92"/>
      <c r="J113" s="92"/>
      <c r="K113" s="24"/>
      <c r="L113" s="24"/>
      <c r="M113" s="62"/>
      <c r="N113" s="24"/>
      <c r="O113" s="25"/>
      <c r="P113" s="25"/>
      <c r="Q113" s="25"/>
    </row>
    <row r="114" spans="2:17" x14ac:dyDescent="0.3">
      <c r="B114" s="24"/>
      <c r="C114" s="92"/>
      <c r="D114" s="92"/>
      <c r="E114" s="24"/>
      <c r="F114" s="24"/>
      <c r="G114" s="62"/>
      <c r="H114" s="24"/>
      <c r="I114" s="92"/>
      <c r="J114" s="92"/>
      <c r="K114" s="24"/>
      <c r="L114" s="24"/>
      <c r="M114" s="62"/>
      <c r="N114" s="24"/>
      <c r="O114" s="25"/>
      <c r="P114" s="25"/>
      <c r="Q114" s="25"/>
    </row>
    <row r="115" spans="2:17" x14ac:dyDescent="0.3">
      <c r="B115" s="24"/>
      <c r="C115" s="92"/>
      <c r="D115" s="92"/>
      <c r="E115" s="24"/>
      <c r="F115" s="24"/>
      <c r="G115" s="62"/>
      <c r="H115" s="24"/>
      <c r="I115" s="92"/>
      <c r="J115" s="92"/>
      <c r="K115" s="24"/>
      <c r="L115" s="24"/>
      <c r="M115" s="62"/>
      <c r="N115" s="24"/>
      <c r="O115" s="25"/>
      <c r="P115" s="25"/>
      <c r="Q115" s="25"/>
    </row>
    <row r="116" spans="2:17" x14ac:dyDescent="0.3">
      <c r="B116" s="24"/>
      <c r="C116" s="92"/>
      <c r="D116" s="92"/>
      <c r="E116" s="24"/>
      <c r="F116" s="24"/>
      <c r="G116" s="62"/>
      <c r="H116" s="24"/>
      <c r="I116" s="92"/>
      <c r="J116" s="92"/>
      <c r="K116" s="24"/>
      <c r="L116" s="24"/>
      <c r="M116" s="62"/>
      <c r="N116" s="24"/>
      <c r="O116" s="25"/>
      <c r="P116" s="25"/>
      <c r="Q116" s="25"/>
    </row>
    <row r="117" spans="2:17" x14ac:dyDescent="0.3">
      <c r="B117" s="24"/>
      <c r="C117" s="92"/>
      <c r="D117" s="92"/>
      <c r="E117" s="24"/>
      <c r="F117" s="24"/>
      <c r="G117" s="62"/>
      <c r="H117" s="24"/>
      <c r="I117" s="92"/>
      <c r="J117" s="92"/>
      <c r="K117" s="24"/>
      <c r="L117" s="24"/>
      <c r="M117" s="62"/>
      <c r="N117" s="24"/>
      <c r="O117" s="25"/>
      <c r="P117" s="25"/>
      <c r="Q117" s="25"/>
    </row>
    <row r="118" spans="2:17" x14ac:dyDescent="0.3">
      <c r="B118" s="24"/>
      <c r="C118" s="92"/>
      <c r="D118" s="92"/>
      <c r="E118" s="24"/>
      <c r="F118" s="24"/>
      <c r="G118" s="62"/>
      <c r="H118" s="24"/>
      <c r="I118" s="92"/>
      <c r="J118" s="92"/>
      <c r="K118" s="24"/>
      <c r="L118" s="24"/>
      <c r="M118" s="62"/>
      <c r="N118" s="24"/>
      <c r="O118" s="25"/>
      <c r="P118" s="25"/>
      <c r="Q118" s="25"/>
    </row>
    <row r="119" spans="2:17" x14ac:dyDescent="0.3">
      <c r="B119" s="24"/>
      <c r="C119" s="92"/>
      <c r="D119" s="92"/>
      <c r="E119" s="24"/>
      <c r="F119" s="24"/>
      <c r="G119" s="62"/>
      <c r="H119" s="24"/>
      <c r="I119" s="92"/>
      <c r="J119" s="92"/>
      <c r="K119" s="24"/>
      <c r="L119" s="24"/>
      <c r="M119" s="62"/>
      <c r="N119" s="24"/>
      <c r="O119" s="25"/>
      <c r="P119" s="25"/>
      <c r="Q119" s="25"/>
    </row>
    <row r="120" spans="2:17" x14ac:dyDescent="0.3">
      <c r="B120" s="24"/>
      <c r="C120" s="92"/>
      <c r="D120" s="92"/>
      <c r="E120" s="24"/>
      <c r="F120" s="24"/>
      <c r="G120" s="62"/>
      <c r="H120" s="24"/>
      <c r="I120" s="92"/>
      <c r="J120" s="92"/>
      <c r="K120" s="24"/>
      <c r="L120" s="24"/>
      <c r="M120" s="62"/>
      <c r="N120" s="24"/>
      <c r="O120" s="25"/>
      <c r="P120" s="25"/>
      <c r="Q120" s="25"/>
    </row>
    <row r="121" spans="2:17" x14ac:dyDescent="0.3">
      <c r="B121" s="24"/>
      <c r="C121" s="92"/>
      <c r="D121" s="92"/>
      <c r="E121" s="24"/>
      <c r="F121" s="24"/>
      <c r="G121" s="62"/>
      <c r="H121" s="24"/>
      <c r="I121" s="92"/>
      <c r="J121" s="92"/>
      <c r="K121" s="24"/>
      <c r="L121" s="24"/>
      <c r="M121" s="62"/>
      <c r="N121" s="24"/>
      <c r="O121" s="25"/>
      <c r="P121" s="25"/>
      <c r="Q121" s="25"/>
    </row>
    <row r="122" spans="2:17" x14ac:dyDescent="0.3">
      <c r="B122" s="24"/>
      <c r="C122" s="92"/>
      <c r="D122" s="92"/>
      <c r="E122" s="24"/>
      <c r="F122" s="24"/>
      <c r="G122" s="62"/>
      <c r="H122" s="24"/>
      <c r="I122" s="92"/>
      <c r="J122" s="92"/>
      <c r="K122" s="24"/>
      <c r="L122" s="24"/>
      <c r="M122" s="62"/>
      <c r="N122" s="24"/>
      <c r="O122" s="25"/>
      <c r="P122" s="25"/>
      <c r="Q122" s="25"/>
    </row>
    <row r="123" spans="2:17" x14ac:dyDescent="0.3">
      <c r="B123" s="24"/>
      <c r="C123" s="92"/>
      <c r="D123" s="92"/>
      <c r="E123" s="24"/>
      <c r="F123" s="24"/>
      <c r="G123" s="62"/>
      <c r="H123" s="24"/>
      <c r="I123" s="92"/>
      <c r="J123" s="92"/>
      <c r="K123" s="24"/>
      <c r="L123" s="24"/>
      <c r="M123" s="62"/>
      <c r="N123" s="24"/>
      <c r="O123" s="25"/>
      <c r="P123" s="25"/>
      <c r="Q123" s="25"/>
    </row>
    <row r="124" spans="2:17" x14ac:dyDescent="0.3">
      <c r="B124" s="24"/>
      <c r="C124" s="92"/>
      <c r="D124" s="92"/>
      <c r="E124" s="24"/>
      <c r="F124" s="24"/>
      <c r="G124" s="62"/>
      <c r="H124" s="24"/>
      <c r="I124" s="92"/>
      <c r="J124" s="92"/>
      <c r="K124" s="24"/>
      <c r="L124" s="24"/>
      <c r="M124" s="62"/>
      <c r="N124" s="24"/>
      <c r="O124" s="25"/>
      <c r="P124" s="25"/>
      <c r="Q124" s="25"/>
    </row>
    <row r="125" spans="2:17" x14ac:dyDescent="0.3">
      <c r="B125" s="24"/>
      <c r="C125" s="92"/>
      <c r="D125" s="92"/>
      <c r="E125" s="24"/>
      <c r="F125" s="24"/>
      <c r="G125" s="62"/>
      <c r="H125" s="24"/>
      <c r="I125" s="92"/>
      <c r="J125" s="92"/>
      <c r="K125" s="24"/>
      <c r="L125" s="24"/>
      <c r="M125" s="62"/>
      <c r="N125" s="24"/>
      <c r="O125" s="25"/>
      <c r="P125" s="25"/>
      <c r="Q125" s="25"/>
    </row>
    <row r="126" spans="2:17" x14ac:dyDescent="0.3">
      <c r="B126" s="24"/>
      <c r="C126" s="92"/>
      <c r="D126" s="92"/>
      <c r="E126" s="24"/>
      <c r="F126" s="24"/>
      <c r="G126" s="62"/>
      <c r="H126" s="24"/>
      <c r="I126" s="92"/>
      <c r="J126" s="92"/>
      <c r="K126" s="24"/>
      <c r="L126" s="24"/>
      <c r="M126" s="62"/>
      <c r="N126" s="24"/>
      <c r="O126" s="25"/>
      <c r="P126" s="25"/>
      <c r="Q126" s="25"/>
    </row>
    <row r="127" spans="2:17" x14ac:dyDescent="0.3">
      <c r="B127" s="24"/>
      <c r="C127" s="92"/>
      <c r="D127" s="92"/>
      <c r="E127" s="24"/>
      <c r="F127" s="24"/>
      <c r="G127" s="62"/>
      <c r="H127" s="24"/>
      <c r="I127" s="92"/>
      <c r="J127" s="92"/>
      <c r="K127" s="24"/>
      <c r="L127" s="24"/>
      <c r="M127" s="62"/>
      <c r="N127" s="24"/>
      <c r="O127" s="25"/>
      <c r="P127" s="25"/>
      <c r="Q127" s="25"/>
    </row>
    <row r="128" spans="2:17" x14ac:dyDescent="0.3">
      <c r="B128" s="24"/>
      <c r="C128" s="92"/>
      <c r="D128" s="92"/>
      <c r="E128" s="24"/>
      <c r="F128" s="24"/>
      <c r="G128" s="62"/>
      <c r="H128" s="24"/>
      <c r="I128" s="92"/>
      <c r="J128" s="92"/>
      <c r="K128" s="24"/>
      <c r="L128" s="24"/>
      <c r="M128" s="62"/>
      <c r="N128" s="24"/>
      <c r="O128" s="25"/>
      <c r="P128" s="25"/>
      <c r="Q128" s="25"/>
    </row>
    <row r="129" spans="2:17" x14ac:dyDescent="0.3">
      <c r="B129" s="24"/>
      <c r="C129" s="92"/>
      <c r="D129" s="92"/>
      <c r="E129" s="24"/>
      <c r="F129" s="24"/>
      <c r="G129" s="62"/>
      <c r="H129" s="24"/>
      <c r="I129" s="92"/>
      <c r="J129" s="92"/>
      <c r="K129" s="24"/>
      <c r="L129" s="24"/>
      <c r="M129" s="62"/>
      <c r="N129" s="24"/>
      <c r="O129" s="25"/>
      <c r="P129" s="25"/>
      <c r="Q129" s="25"/>
    </row>
    <row r="130" spans="2:17" x14ac:dyDescent="0.3">
      <c r="B130" s="24"/>
      <c r="C130" s="92"/>
      <c r="D130" s="92"/>
      <c r="E130" s="24"/>
      <c r="F130" s="24"/>
      <c r="G130" s="62"/>
      <c r="H130" s="24"/>
      <c r="I130" s="92"/>
      <c r="J130" s="92"/>
      <c r="K130" s="24"/>
      <c r="L130" s="24"/>
      <c r="M130" s="62"/>
      <c r="N130" s="24"/>
      <c r="O130" s="25"/>
      <c r="P130" s="25"/>
      <c r="Q130" s="25"/>
    </row>
    <row r="131" spans="2:17" x14ac:dyDescent="0.3">
      <c r="B131" s="24"/>
      <c r="C131" s="92"/>
      <c r="D131" s="92"/>
      <c r="E131" s="24"/>
      <c r="F131" s="24"/>
      <c r="G131" s="62"/>
      <c r="H131" s="24"/>
      <c r="I131" s="92"/>
      <c r="J131" s="92"/>
      <c r="K131" s="24"/>
      <c r="L131" s="24"/>
      <c r="M131" s="62"/>
      <c r="N131" s="24"/>
      <c r="O131" s="25"/>
      <c r="P131" s="25"/>
      <c r="Q131" s="25"/>
    </row>
    <row r="132" spans="2:17" x14ac:dyDescent="0.3">
      <c r="B132" s="24"/>
      <c r="C132" s="92"/>
      <c r="D132" s="92"/>
      <c r="E132" s="24"/>
      <c r="F132" s="24"/>
      <c r="G132" s="62"/>
      <c r="H132" s="24"/>
      <c r="I132" s="92"/>
      <c r="J132" s="92"/>
      <c r="K132" s="24"/>
      <c r="L132" s="24"/>
      <c r="M132" s="62"/>
      <c r="N132" s="24"/>
      <c r="O132" s="25"/>
      <c r="P132" s="25"/>
      <c r="Q132" s="25"/>
    </row>
    <row r="133" spans="2:17" x14ac:dyDescent="0.3">
      <c r="B133" s="24"/>
      <c r="C133" s="92"/>
      <c r="D133" s="92"/>
      <c r="E133" s="24"/>
      <c r="F133" s="24"/>
      <c r="G133" s="62"/>
      <c r="H133" s="24"/>
      <c r="I133" s="92"/>
      <c r="J133" s="92"/>
      <c r="K133" s="24"/>
      <c r="L133" s="24"/>
      <c r="M133" s="62"/>
      <c r="N133" s="24"/>
      <c r="O133" s="25"/>
      <c r="P133" s="25"/>
      <c r="Q133" s="25"/>
    </row>
    <row r="134" spans="2:17" x14ac:dyDescent="0.3">
      <c r="B134" s="24"/>
      <c r="C134" s="92"/>
      <c r="D134" s="92"/>
      <c r="E134" s="24"/>
      <c r="F134" s="24"/>
      <c r="G134" s="62"/>
      <c r="H134" s="24"/>
      <c r="I134" s="92"/>
      <c r="J134" s="92"/>
      <c r="K134" s="24"/>
      <c r="L134" s="24"/>
      <c r="M134" s="62"/>
      <c r="N134" s="24"/>
      <c r="O134" s="25"/>
      <c r="P134" s="25"/>
      <c r="Q134" s="25"/>
    </row>
    <row r="135" spans="2:17" x14ac:dyDescent="0.3">
      <c r="B135" s="24"/>
      <c r="C135" s="92"/>
      <c r="D135" s="92"/>
      <c r="E135" s="24"/>
      <c r="F135" s="24"/>
      <c r="G135" s="62"/>
      <c r="H135" s="24"/>
      <c r="I135" s="92"/>
      <c r="J135" s="92"/>
      <c r="K135" s="24"/>
      <c r="L135" s="24"/>
      <c r="M135" s="62"/>
      <c r="N135" s="24"/>
      <c r="O135" s="25"/>
      <c r="P135" s="25"/>
      <c r="Q135" s="25"/>
    </row>
    <row r="136" spans="2:17" x14ac:dyDescent="0.3">
      <c r="B136" s="24"/>
      <c r="C136" s="92"/>
      <c r="D136" s="92"/>
      <c r="E136" s="24"/>
      <c r="F136" s="24"/>
      <c r="G136" s="62"/>
      <c r="H136" s="24"/>
      <c r="I136" s="92"/>
      <c r="J136" s="92"/>
      <c r="K136" s="24"/>
      <c r="L136" s="24"/>
      <c r="M136" s="62"/>
      <c r="N136" s="24"/>
      <c r="O136" s="25"/>
      <c r="P136" s="25"/>
      <c r="Q136" s="25"/>
    </row>
    <row r="137" spans="2:17" x14ac:dyDescent="0.3">
      <c r="B137" s="24"/>
      <c r="C137" s="92"/>
      <c r="D137" s="92"/>
      <c r="E137" s="24"/>
      <c r="F137" s="24"/>
      <c r="G137" s="62"/>
      <c r="H137" s="24"/>
      <c r="I137" s="92"/>
      <c r="J137" s="92"/>
      <c r="K137" s="24"/>
      <c r="L137" s="24"/>
      <c r="M137" s="62"/>
      <c r="N137" s="24"/>
      <c r="O137" s="25"/>
      <c r="P137" s="25"/>
      <c r="Q137" s="25"/>
    </row>
    <row r="138" spans="2:17" x14ac:dyDescent="0.3">
      <c r="B138" s="24"/>
      <c r="C138" s="92"/>
      <c r="D138" s="92"/>
      <c r="E138" s="24"/>
      <c r="F138" s="24"/>
      <c r="G138" s="62"/>
      <c r="H138" s="24"/>
      <c r="I138" s="92"/>
      <c r="J138" s="92"/>
      <c r="K138" s="24"/>
      <c r="L138" s="24"/>
      <c r="M138" s="62"/>
      <c r="N138" s="24"/>
      <c r="O138" s="25"/>
      <c r="P138" s="25"/>
      <c r="Q138" s="25"/>
    </row>
    <row r="139" spans="2:17" x14ac:dyDescent="0.3">
      <c r="B139" s="24"/>
      <c r="C139" s="92"/>
      <c r="D139" s="92"/>
      <c r="E139" s="24"/>
      <c r="F139" s="24"/>
      <c r="G139" s="62"/>
      <c r="H139" s="24"/>
      <c r="I139" s="92"/>
      <c r="J139" s="92"/>
      <c r="K139" s="24"/>
      <c r="L139" s="24"/>
      <c r="M139" s="62"/>
      <c r="N139" s="24"/>
      <c r="O139" s="25"/>
      <c r="P139" s="25"/>
      <c r="Q139" s="25"/>
    </row>
    <row r="140" spans="2:17" x14ac:dyDescent="0.3">
      <c r="B140" s="24"/>
      <c r="C140" s="92"/>
      <c r="D140" s="92"/>
      <c r="E140" s="24"/>
      <c r="F140" s="24"/>
      <c r="G140" s="62"/>
      <c r="H140" s="24"/>
      <c r="I140" s="92"/>
      <c r="J140" s="92"/>
      <c r="K140" s="24"/>
      <c r="L140" s="24"/>
      <c r="M140" s="62"/>
      <c r="N140" s="24"/>
      <c r="O140" s="25"/>
      <c r="P140" s="25"/>
      <c r="Q140" s="25"/>
    </row>
    <row r="141" spans="2:17" x14ac:dyDescent="0.3">
      <c r="B141" s="24"/>
      <c r="C141" s="92"/>
      <c r="D141" s="92"/>
      <c r="E141" s="24"/>
      <c r="F141" s="24"/>
      <c r="G141" s="62"/>
      <c r="H141" s="24"/>
      <c r="I141" s="92"/>
      <c r="J141" s="92"/>
      <c r="K141" s="24"/>
      <c r="L141" s="24"/>
      <c r="M141" s="62"/>
      <c r="N141" s="24"/>
      <c r="O141" s="25"/>
      <c r="P141" s="25"/>
      <c r="Q141" s="25"/>
    </row>
    <row r="142" spans="2:17" x14ac:dyDescent="0.3">
      <c r="B142" s="24"/>
      <c r="C142" s="92"/>
      <c r="D142" s="92"/>
      <c r="E142" s="24"/>
      <c r="F142" s="24"/>
      <c r="G142" s="62"/>
      <c r="H142" s="24"/>
      <c r="I142" s="92"/>
      <c r="J142" s="92"/>
      <c r="K142" s="24"/>
      <c r="L142" s="24"/>
      <c r="M142" s="62"/>
      <c r="N142" s="24"/>
      <c r="O142" s="25"/>
      <c r="P142" s="25"/>
      <c r="Q142" s="25"/>
    </row>
    <row r="143" spans="2:17" x14ac:dyDescent="0.3">
      <c r="B143" s="24"/>
      <c r="C143" s="92"/>
      <c r="D143" s="92"/>
      <c r="E143" s="24"/>
      <c r="F143" s="24"/>
      <c r="G143" s="62"/>
      <c r="H143" s="24"/>
      <c r="I143" s="92"/>
      <c r="J143" s="92"/>
      <c r="K143" s="24"/>
      <c r="L143" s="24"/>
      <c r="M143" s="62"/>
      <c r="N143" s="24"/>
      <c r="O143" s="25"/>
      <c r="P143" s="25"/>
      <c r="Q143" s="25"/>
    </row>
    <row r="144" spans="2:17" x14ac:dyDescent="0.3">
      <c r="B144" s="24"/>
      <c r="C144" s="92"/>
      <c r="D144" s="92"/>
      <c r="E144" s="24"/>
      <c r="F144" s="24"/>
      <c r="G144" s="62"/>
      <c r="H144" s="24"/>
      <c r="I144" s="92"/>
      <c r="J144" s="92"/>
      <c r="K144" s="24"/>
      <c r="L144" s="24"/>
      <c r="M144" s="62"/>
      <c r="N144" s="24"/>
      <c r="O144" s="25"/>
      <c r="P144" s="25"/>
      <c r="Q144" s="25"/>
    </row>
    <row r="145" spans="2:17" x14ac:dyDescent="0.3">
      <c r="B145" s="24"/>
      <c r="C145" s="92"/>
      <c r="D145" s="92"/>
      <c r="E145" s="24"/>
      <c r="F145" s="24"/>
      <c r="G145" s="62"/>
      <c r="H145" s="24"/>
      <c r="I145" s="92"/>
      <c r="J145" s="92"/>
      <c r="K145" s="24"/>
      <c r="L145" s="24"/>
      <c r="M145" s="62"/>
      <c r="N145" s="24"/>
      <c r="O145" s="25"/>
      <c r="P145" s="25"/>
      <c r="Q145" s="25"/>
    </row>
    <row r="146" spans="2:17" x14ac:dyDescent="0.3">
      <c r="B146" s="24"/>
      <c r="C146" s="92"/>
      <c r="D146" s="92"/>
      <c r="E146" s="24"/>
      <c r="F146" s="24"/>
      <c r="G146" s="62"/>
      <c r="H146" s="24"/>
      <c r="I146" s="92"/>
      <c r="J146" s="92"/>
      <c r="K146" s="24"/>
      <c r="L146" s="24"/>
      <c r="M146" s="62"/>
      <c r="N146" s="24"/>
      <c r="O146" s="25"/>
      <c r="P146" s="25"/>
      <c r="Q146" s="25"/>
    </row>
    <row r="147" spans="2:17" x14ac:dyDescent="0.3">
      <c r="B147" s="24"/>
      <c r="C147" s="92"/>
      <c r="D147" s="92"/>
      <c r="E147" s="24"/>
      <c r="F147" s="24"/>
      <c r="G147" s="62"/>
      <c r="H147" s="24"/>
      <c r="I147" s="92"/>
      <c r="J147" s="92"/>
      <c r="K147" s="24"/>
      <c r="L147" s="24"/>
      <c r="M147" s="62"/>
      <c r="N147" s="24"/>
      <c r="O147" s="25"/>
      <c r="P147" s="25"/>
      <c r="Q147" s="25"/>
    </row>
    <row r="148" spans="2:17" x14ac:dyDescent="0.3">
      <c r="B148" s="24"/>
      <c r="C148" s="92"/>
      <c r="D148" s="92"/>
      <c r="E148" s="24"/>
      <c r="F148" s="24"/>
      <c r="G148" s="62"/>
      <c r="H148" s="24"/>
      <c r="I148" s="92"/>
      <c r="J148" s="92"/>
      <c r="K148" s="24"/>
      <c r="L148" s="24"/>
      <c r="M148" s="62"/>
      <c r="N148" s="24"/>
      <c r="O148" s="25"/>
      <c r="P148" s="25"/>
      <c r="Q148" s="25"/>
    </row>
    <row r="149" spans="2:17" x14ac:dyDescent="0.3">
      <c r="B149" s="24"/>
      <c r="C149" s="92"/>
      <c r="D149" s="92"/>
      <c r="E149" s="24"/>
      <c r="F149" s="24"/>
      <c r="G149" s="62"/>
      <c r="H149" s="24"/>
      <c r="I149" s="92"/>
      <c r="J149" s="92"/>
      <c r="K149" s="24"/>
      <c r="L149" s="24"/>
      <c r="M149" s="62"/>
      <c r="N149" s="24"/>
      <c r="O149" s="25"/>
      <c r="P149" s="25"/>
      <c r="Q149" s="25"/>
    </row>
    <row r="150" spans="2:17" x14ac:dyDescent="0.3">
      <c r="B150" s="24"/>
      <c r="C150" s="92"/>
      <c r="D150" s="92"/>
      <c r="E150" s="24"/>
      <c r="F150" s="24"/>
      <c r="G150" s="62"/>
      <c r="H150" s="24"/>
      <c r="I150" s="92"/>
      <c r="J150" s="92"/>
      <c r="K150" s="24"/>
      <c r="L150" s="24"/>
      <c r="M150" s="62"/>
      <c r="N150" s="24"/>
      <c r="O150" s="25"/>
      <c r="P150" s="25"/>
      <c r="Q150" s="25"/>
    </row>
    <row r="151" spans="2:17" x14ac:dyDescent="0.3">
      <c r="B151" s="24"/>
      <c r="C151" s="92"/>
      <c r="D151" s="92"/>
      <c r="E151" s="24"/>
      <c r="F151" s="24"/>
      <c r="G151" s="62"/>
      <c r="H151" s="24"/>
      <c r="I151" s="92"/>
      <c r="J151" s="92"/>
      <c r="K151" s="24"/>
      <c r="L151" s="24"/>
      <c r="M151" s="62"/>
      <c r="N151" s="24"/>
      <c r="O151" s="25"/>
      <c r="P151" s="25"/>
      <c r="Q151" s="25"/>
    </row>
    <row r="152" spans="2:17" x14ac:dyDescent="0.3">
      <c r="B152" s="24"/>
      <c r="C152" s="92"/>
      <c r="D152" s="92"/>
      <c r="E152" s="24"/>
      <c r="F152" s="24"/>
      <c r="G152" s="62"/>
      <c r="H152" s="24"/>
      <c r="I152" s="92"/>
      <c r="J152" s="92"/>
      <c r="K152" s="24"/>
      <c r="L152" s="24"/>
      <c r="M152" s="62"/>
      <c r="N152" s="24"/>
      <c r="O152" s="25"/>
      <c r="P152" s="25"/>
      <c r="Q152" s="25"/>
    </row>
    <row r="153" spans="2:17" x14ac:dyDescent="0.3">
      <c r="B153" s="24"/>
      <c r="C153" s="92"/>
      <c r="D153" s="92"/>
      <c r="E153" s="24"/>
      <c r="F153" s="24"/>
      <c r="G153" s="62"/>
      <c r="H153" s="24"/>
      <c r="I153" s="92"/>
      <c r="J153" s="92"/>
      <c r="K153" s="24"/>
      <c r="L153" s="24"/>
      <c r="M153" s="62"/>
      <c r="N153" s="24"/>
      <c r="O153" s="25"/>
      <c r="P153" s="25"/>
      <c r="Q153" s="25"/>
    </row>
    <row r="154" spans="2:17" x14ac:dyDescent="0.3">
      <c r="B154" s="24"/>
      <c r="C154" s="92"/>
      <c r="D154" s="92"/>
      <c r="E154" s="24"/>
      <c r="F154" s="24"/>
      <c r="G154" s="62"/>
      <c r="H154" s="24"/>
      <c r="I154" s="92"/>
      <c r="J154" s="92"/>
      <c r="K154" s="24"/>
      <c r="L154" s="24"/>
      <c r="M154" s="62"/>
      <c r="N154" s="24"/>
      <c r="O154" s="25"/>
      <c r="P154" s="25"/>
      <c r="Q154" s="25"/>
    </row>
    <row r="155" spans="2:17" x14ac:dyDescent="0.3">
      <c r="B155" s="24"/>
      <c r="C155" s="92"/>
      <c r="D155" s="92"/>
      <c r="E155" s="24"/>
      <c r="F155" s="24"/>
      <c r="G155" s="62"/>
      <c r="H155" s="24"/>
      <c r="I155" s="92"/>
      <c r="J155" s="92"/>
      <c r="K155" s="24"/>
      <c r="L155" s="24"/>
      <c r="M155" s="62"/>
      <c r="N155" s="24"/>
      <c r="O155" s="25"/>
      <c r="P155" s="25"/>
      <c r="Q155" s="25"/>
    </row>
    <row r="156" spans="2:17" x14ac:dyDescent="0.3">
      <c r="B156" s="24"/>
      <c r="C156" s="92"/>
      <c r="D156" s="92"/>
      <c r="E156" s="24"/>
      <c r="F156" s="24"/>
      <c r="G156" s="62"/>
      <c r="H156" s="24"/>
      <c r="I156" s="92"/>
      <c r="J156" s="92"/>
      <c r="K156" s="24"/>
      <c r="L156" s="24"/>
      <c r="M156" s="62"/>
      <c r="N156" s="24"/>
      <c r="O156" s="25"/>
      <c r="P156" s="25"/>
      <c r="Q156" s="25"/>
    </row>
    <row r="157" spans="2:17" x14ac:dyDescent="0.3">
      <c r="B157" s="24"/>
      <c r="C157" s="92"/>
      <c r="D157" s="92"/>
      <c r="E157" s="24"/>
      <c r="F157" s="24"/>
      <c r="G157" s="62"/>
      <c r="H157" s="24"/>
      <c r="I157" s="92"/>
      <c r="J157" s="92"/>
      <c r="K157" s="24"/>
      <c r="L157" s="24"/>
      <c r="M157" s="62"/>
      <c r="N157" s="24"/>
      <c r="O157" s="25"/>
      <c r="P157" s="25"/>
      <c r="Q157" s="25"/>
    </row>
    <row r="158" spans="2:17" x14ac:dyDescent="0.3">
      <c r="B158" s="24"/>
      <c r="C158" s="92"/>
      <c r="D158" s="92"/>
      <c r="E158" s="24"/>
      <c r="F158" s="24"/>
      <c r="G158" s="62"/>
      <c r="H158" s="24"/>
      <c r="I158" s="92"/>
      <c r="J158" s="92"/>
      <c r="K158" s="24"/>
      <c r="L158" s="24"/>
      <c r="M158" s="62"/>
      <c r="N158" s="24"/>
      <c r="O158" s="25"/>
      <c r="P158" s="25"/>
      <c r="Q158" s="25"/>
    </row>
    <row r="159" spans="2:17" x14ac:dyDescent="0.3">
      <c r="B159" s="24"/>
      <c r="C159" s="92"/>
      <c r="D159" s="92"/>
      <c r="E159" s="24"/>
      <c r="F159" s="24"/>
      <c r="G159" s="62"/>
      <c r="H159" s="24"/>
      <c r="I159" s="92"/>
      <c r="J159" s="92"/>
      <c r="K159" s="24"/>
      <c r="L159" s="24"/>
      <c r="M159" s="62"/>
      <c r="N159" s="24"/>
      <c r="O159" s="25"/>
      <c r="P159" s="25"/>
      <c r="Q159" s="25"/>
    </row>
    <row r="160" spans="2:17" x14ac:dyDescent="0.3">
      <c r="B160" s="24"/>
      <c r="C160" s="92"/>
      <c r="D160" s="92"/>
      <c r="E160" s="24"/>
      <c r="F160" s="24"/>
      <c r="G160" s="62"/>
      <c r="H160" s="24"/>
      <c r="I160" s="92"/>
      <c r="J160" s="92"/>
      <c r="K160" s="24"/>
      <c r="L160" s="24"/>
      <c r="M160" s="62"/>
      <c r="N160" s="24"/>
      <c r="O160" s="25"/>
      <c r="P160" s="25"/>
      <c r="Q160" s="25"/>
    </row>
    <row r="161" spans="2:17" x14ac:dyDescent="0.3">
      <c r="B161" s="24"/>
      <c r="C161" s="92"/>
      <c r="D161" s="92"/>
      <c r="E161" s="24"/>
      <c r="F161" s="24"/>
      <c r="G161" s="62"/>
      <c r="H161" s="24"/>
      <c r="I161" s="92"/>
      <c r="J161" s="92"/>
      <c r="K161" s="24"/>
      <c r="L161" s="24"/>
      <c r="M161" s="62"/>
      <c r="N161" s="24"/>
      <c r="O161" s="25"/>
      <c r="P161" s="25"/>
      <c r="Q161" s="25"/>
    </row>
    <row r="162" spans="2:17" x14ac:dyDescent="0.3">
      <c r="B162" s="24"/>
      <c r="C162" s="92"/>
      <c r="D162" s="92"/>
      <c r="E162" s="24"/>
      <c r="F162" s="24"/>
      <c r="G162" s="62"/>
      <c r="H162" s="24"/>
      <c r="I162" s="92"/>
      <c r="J162" s="92"/>
      <c r="K162" s="24"/>
      <c r="L162" s="24"/>
      <c r="M162" s="62"/>
      <c r="N162" s="24"/>
      <c r="O162" s="25"/>
      <c r="P162" s="25"/>
      <c r="Q162" s="25"/>
    </row>
    <row r="163" spans="2:17" x14ac:dyDescent="0.3">
      <c r="B163" s="24"/>
      <c r="C163" s="92"/>
      <c r="D163" s="92"/>
      <c r="E163" s="24"/>
      <c r="F163" s="24"/>
      <c r="G163" s="62"/>
      <c r="H163" s="24"/>
      <c r="I163" s="92"/>
      <c r="J163" s="92"/>
      <c r="K163" s="24"/>
      <c r="L163" s="24"/>
      <c r="M163" s="62"/>
      <c r="N163" s="24"/>
      <c r="O163" s="25"/>
      <c r="P163" s="25"/>
      <c r="Q163" s="25"/>
    </row>
    <row r="164" spans="2:17" x14ac:dyDescent="0.3">
      <c r="B164" s="24"/>
      <c r="C164" s="92"/>
      <c r="D164" s="92"/>
      <c r="E164" s="24"/>
      <c r="F164" s="24"/>
      <c r="G164" s="62"/>
      <c r="H164" s="24"/>
      <c r="I164" s="92"/>
      <c r="J164" s="92"/>
      <c r="K164" s="24"/>
      <c r="L164" s="24"/>
      <c r="M164" s="62"/>
      <c r="N164" s="24"/>
      <c r="O164" s="25"/>
      <c r="P164" s="25"/>
      <c r="Q164" s="25"/>
    </row>
    <row r="165" spans="2:17" x14ac:dyDescent="0.3">
      <c r="B165" s="24"/>
      <c r="C165" s="92"/>
      <c r="D165" s="92"/>
      <c r="E165" s="24"/>
      <c r="F165" s="24"/>
      <c r="G165" s="62"/>
      <c r="H165" s="24"/>
      <c r="I165" s="92"/>
      <c r="J165" s="92"/>
      <c r="K165" s="24"/>
      <c r="L165" s="24"/>
      <c r="M165" s="62"/>
      <c r="N165" s="24"/>
      <c r="O165" s="25"/>
      <c r="P165" s="25"/>
      <c r="Q165" s="25"/>
    </row>
    <row r="166" spans="2:17" x14ac:dyDescent="0.3">
      <c r="B166" s="24"/>
      <c r="C166" s="92"/>
      <c r="D166" s="92"/>
      <c r="E166" s="24"/>
      <c r="F166" s="24"/>
      <c r="G166" s="62"/>
      <c r="H166" s="24"/>
      <c r="I166" s="92"/>
      <c r="J166" s="92"/>
      <c r="K166" s="24"/>
      <c r="L166" s="24"/>
      <c r="M166" s="62"/>
      <c r="N166" s="24"/>
      <c r="O166" s="25"/>
      <c r="P166" s="25"/>
      <c r="Q166" s="25"/>
    </row>
    <row r="167" spans="2:17" x14ac:dyDescent="0.3">
      <c r="B167" s="24"/>
      <c r="C167" s="92"/>
      <c r="D167" s="92"/>
      <c r="E167" s="24"/>
      <c r="F167" s="24"/>
      <c r="G167" s="62"/>
      <c r="H167" s="24"/>
      <c r="I167" s="92"/>
      <c r="J167" s="92"/>
      <c r="K167" s="24"/>
      <c r="L167" s="24"/>
      <c r="M167" s="62"/>
      <c r="N167" s="24"/>
      <c r="O167" s="25"/>
      <c r="P167" s="25"/>
      <c r="Q167" s="25"/>
    </row>
    <row r="168" spans="2:17" x14ac:dyDescent="0.3">
      <c r="B168" s="24"/>
      <c r="C168" s="92"/>
      <c r="D168" s="92"/>
      <c r="E168" s="24"/>
      <c r="F168" s="24"/>
      <c r="G168" s="62"/>
      <c r="H168" s="24"/>
      <c r="I168" s="92"/>
      <c r="J168" s="92"/>
      <c r="K168" s="24"/>
      <c r="L168" s="24"/>
      <c r="M168" s="62"/>
      <c r="N168" s="24"/>
      <c r="O168" s="25"/>
      <c r="P168" s="25"/>
      <c r="Q168" s="25"/>
    </row>
    <row r="169" spans="2:17" x14ac:dyDescent="0.3">
      <c r="B169" s="24"/>
      <c r="C169" s="92"/>
      <c r="D169" s="92"/>
      <c r="E169" s="24"/>
      <c r="F169" s="24"/>
      <c r="G169" s="62"/>
      <c r="H169" s="24"/>
      <c r="I169" s="92"/>
      <c r="J169" s="92"/>
      <c r="K169" s="24"/>
      <c r="L169" s="24"/>
      <c r="M169" s="62"/>
      <c r="N169" s="24"/>
      <c r="O169" s="25"/>
      <c r="P169" s="25"/>
      <c r="Q169" s="25"/>
    </row>
    <row r="170" spans="2:17" x14ac:dyDescent="0.3">
      <c r="B170" s="24"/>
      <c r="C170" s="92"/>
      <c r="D170" s="92"/>
      <c r="E170" s="24"/>
      <c r="F170" s="24"/>
      <c r="G170" s="62"/>
      <c r="H170" s="24"/>
      <c r="I170" s="92"/>
      <c r="J170" s="92"/>
      <c r="K170" s="24"/>
      <c r="L170" s="24"/>
      <c r="M170" s="62"/>
      <c r="N170" s="24"/>
      <c r="O170" s="25"/>
      <c r="P170" s="25"/>
      <c r="Q170" s="25"/>
    </row>
    <row r="171" spans="2:17" x14ac:dyDescent="0.3">
      <c r="B171" s="24"/>
      <c r="C171" s="92"/>
      <c r="D171" s="92"/>
      <c r="E171" s="24"/>
      <c r="F171" s="24"/>
      <c r="G171" s="62"/>
      <c r="H171" s="24"/>
      <c r="I171" s="92"/>
      <c r="J171" s="92"/>
      <c r="K171" s="24"/>
      <c r="L171" s="24"/>
      <c r="M171" s="62"/>
      <c r="N171" s="24"/>
      <c r="O171" s="25"/>
      <c r="P171" s="25"/>
      <c r="Q171" s="25"/>
    </row>
    <row r="172" spans="2:17" x14ac:dyDescent="0.3">
      <c r="B172" s="24"/>
      <c r="C172" s="92"/>
      <c r="D172" s="92"/>
      <c r="E172" s="24"/>
      <c r="F172" s="24"/>
      <c r="G172" s="62"/>
      <c r="H172" s="24"/>
      <c r="I172" s="92"/>
      <c r="J172" s="92"/>
      <c r="K172" s="24"/>
      <c r="L172" s="24"/>
      <c r="M172" s="62"/>
      <c r="N172" s="24"/>
      <c r="O172" s="25"/>
      <c r="P172" s="25"/>
      <c r="Q172" s="25"/>
    </row>
    <row r="173" spans="2:17" x14ac:dyDescent="0.3">
      <c r="B173" s="24"/>
      <c r="C173" s="92"/>
      <c r="D173" s="92"/>
      <c r="E173" s="24"/>
      <c r="F173" s="24"/>
      <c r="G173" s="62"/>
      <c r="H173" s="24"/>
      <c r="I173" s="92"/>
      <c r="J173" s="92"/>
      <c r="K173" s="24"/>
      <c r="L173" s="24"/>
      <c r="M173" s="62"/>
      <c r="N173" s="24"/>
      <c r="O173" s="25"/>
      <c r="P173" s="25"/>
      <c r="Q173" s="25"/>
    </row>
    <row r="174" spans="2:17" x14ac:dyDescent="0.3">
      <c r="B174" s="24"/>
      <c r="C174" s="92"/>
      <c r="D174" s="92"/>
      <c r="E174" s="24"/>
      <c r="F174" s="24"/>
      <c r="G174" s="62"/>
      <c r="H174" s="24"/>
      <c r="I174" s="92"/>
      <c r="J174" s="92"/>
      <c r="K174" s="24"/>
      <c r="L174" s="24"/>
      <c r="M174" s="62"/>
      <c r="N174" s="24"/>
      <c r="O174" s="25"/>
      <c r="P174" s="25"/>
      <c r="Q174" s="25"/>
    </row>
    <row r="175" spans="2:17" x14ac:dyDescent="0.3">
      <c r="B175" s="24"/>
      <c r="C175" s="92"/>
      <c r="D175" s="92"/>
      <c r="E175" s="24"/>
      <c r="F175" s="24"/>
      <c r="G175" s="62"/>
      <c r="H175" s="24"/>
      <c r="I175" s="92"/>
      <c r="J175" s="92"/>
      <c r="K175" s="24"/>
      <c r="L175" s="24"/>
      <c r="M175" s="62"/>
      <c r="N175" s="24"/>
      <c r="O175" s="25"/>
      <c r="P175" s="25"/>
      <c r="Q175" s="25"/>
    </row>
    <row r="176" spans="2:17" x14ac:dyDescent="0.3">
      <c r="B176" s="24"/>
      <c r="C176" s="92"/>
      <c r="D176" s="92"/>
      <c r="E176" s="24"/>
      <c r="F176" s="24"/>
      <c r="G176" s="62"/>
      <c r="H176" s="24"/>
      <c r="I176" s="92"/>
      <c r="J176" s="92"/>
      <c r="K176" s="24"/>
      <c r="L176" s="24"/>
      <c r="M176" s="62"/>
      <c r="N176" s="24"/>
      <c r="O176" s="25"/>
      <c r="P176" s="25"/>
      <c r="Q176" s="25"/>
    </row>
    <row r="177" spans="2:17" x14ac:dyDescent="0.3">
      <c r="B177" s="24"/>
      <c r="C177" s="92"/>
      <c r="D177" s="92"/>
      <c r="E177" s="24"/>
      <c r="F177" s="24"/>
      <c r="G177" s="62"/>
      <c r="H177" s="24"/>
      <c r="I177" s="92"/>
      <c r="J177" s="92"/>
      <c r="K177" s="24"/>
      <c r="L177" s="24"/>
      <c r="M177" s="62"/>
      <c r="N177" s="24"/>
      <c r="O177" s="25"/>
      <c r="P177" s="25"/>
      <c r="Q177" s="25"/>
    </row>
    <row r="178" spans="2:17" x14ac:dyDescent="0.3">
      <c r="B178" s="24"/>
      <c r="C178" s="92"/>
      <c r="D178" s="92"/>
      <c r="E178" s="24"/>
      <c r="F178" s="24"/>
      <c r="G178" s="62"/>
      <c r="H178" s="24"/>
      <c r="I178" s="92"/>
      <c r="J178" s="92"/>
      <c r="K178" s="24"/>
      <c r="L178" s="24"/>
      <c r="M178" s="62"/>
      <c r="N178" s="24"/>
      <c r="O178" s="25"/>
      <c r="P178" s="25"/>
      <c r="Q178" s="25"/>
    </row>
    <row r="179" spans="2:17" x14ac:dyDescent="0.3">
      <c r="B179" s="24"/>
      <c r="C179" s="92"/>
      <c r="D179" s="92"/>
      <c r="E179" s="24"/>
      <c r="F179" s="24"/>
      <c r="G179" s="62"/>
      <c r="H179" s="24"/>
      <c r="I179" s="92"/>
      <c r="J179" s="92"/>
      <c r="K179" s="24"/>
      <c r="L179" s="24"/>
      <c r="M179" s="62"/>
      <c r="N179" s="24"/>
      <c r="O179" s="25"/>
      <c r="P179" s="25"/>
      <c r="Q179" s="25"/>
    </row>
    <row r="180" spans="2:17" x14ac:dyDescent="0.3">
      <c r="B180" s="24"/>
      <c r="C180" s="92"/>
      <c r="D180" s="92"/>
      <c r="E180" s="24"/>
      <c r="F180" s="24"/>
      <c r="G180" s="62"/>
      <c r="H180" s="24"/>
      <c r="I180" s="92"/>
      <c r="J180" s="92"/>
      <c r="K180" s="24"/>
      <c r="L180" s="24"/>
      <c r="M180" s="62"/>
      <c r="N180" s="24"/>
      <c r="O180" s="25"/>
      <c r="P180" s="25"/>
      <c r="Q180" s="25"/>
    </row>
    <row r="181" spans="2:17" x14ac:dyDescent="0.3">
      <c r="B181" s="24"/>
      <c r="C181" s="92"/>
      <c r="D181" s="92"/>
      <c r="E181" s="24"/>
      <c r="F181" s="24"/>
      <c r="G181" s="62"/>
      <c r="H181" s="24"/>
      <c r="I181" s="92"/>
      <c r="J181" s="92"/>
      <c r="K181" s="24"/>
      <c r="L181" s="24"/>
      <c r="M181" s="62"/>
      <c r="N181" s="24"/>
      <c r="O181" s="25"/>
      <c r="P181" s="25"/>
      <c r="Q181" s="25"/>
    </row>
    <row r="182" spans="2:17" x14ac:dyDescent="0.3">
      <c r="B182" s="24"/>
      <c r="C182" s="92"/>
      <c r="D182" s="92"/>
      <c r="E182" s="24"/>
      <c r="F182" s="24"/>
      <c r="G182" s="62"/>
      <c r="H182" s="24"/>
      <c r="I182" s="92"/>
      <c r="J182" s="92"/>
      <c r="K182" s="24"/>
      <c r="L182" s="24"/>
      <c r="M182" s="62"/>
      <c r="N182" s="24"/>
      <c r="O182" s="25"/>
      <c r="P182" s="25"/>
      <c r="Q182" s="25"/>
    </row>
    <row r="183" spans="2:17" x14ac:dyDescent="0.3">
      <c r="B183" s="24"/>
      <c r="C183" s="92"/>
      <c r="D183" s="92"/>
      <c r="E183" s="24"/>
      <c r="F183" s="24"/>
      <c r="G183" s="62"/>
      <c r="H183" s="24"/>
      <c r="I183" s="92"/>
      <c r="J183" s="92"/>
      <c r="K183" s="24"/>
      <c r="L183" s="24"/>
      <c r="M183" s="62"/>
      <c r="N183" s="24"/>
      <c r="O183" s="25"/>
      <c r="P183" s="25"/>
      <c r="Q183" s="25"/>
    </row>
    <row r="184" spans="2:17" x14ac:dyDescent="0.3">
      <c r="B184" s="24"/>
      <c r="C184" s="92"/>
      <c r="D184" s="92"/>
      <c r="E184" s="24"/>
      <c r="F184" s="24"/>
      <c r="G184" s="62"/>
      <c r="H184" s="24"/>
      <c r="I184" s="92"/>
      <c r="J184" s="92"/>
      <c r="K184" s="24"/>
      <c r="L184" s="24"/>
      <c r="M184" s="62"/>
      <c r="N184" s="24"/>
      <c r="O184" s="25"/>
      <c r="P184" s="25"/>
      <c r="Q184" s="25"/>
    </row>
    <row r="185" spans="2:17" x14ac:dyDescent="0.3">
      <c r="B185" s="24"/>
      <c r="C185" s="92"/>
      <c r="D185" s="92"/>
      <c r="E185" s="24"/>
      <c r="F185" s="24"/>
      <c r="G185" s="62"/>
      <c r="H185" s="24"/>
      <c r="I185" s="92"/>
      <c r="J185" s="92"/>
      <c r="K185" s="24"/>
      <c r="L185" s="24"/>
      <c r="M185" s="62"/>
      <c r="N185" s="24"/>
      <c r="O185" s="25"/>
      <c r="P185" s="25"/>
      <c r="Q185" s="25"/>
    </row>
    <row r="186" spans="2:17" x14ac:dyDescent="0.3">
      <c r="B186" s="24"/>
      <c r="C186" s="92"/>
      <c r="D186" s="92"/>
      <c r="E186" s="24"/>
      <c r="F186" s="24"/>
      <c r="G186" s="62"/>
      <c r="H186" s="24"/>
      <c r="I186" s="92"/>
      <c r="J186" s="92"/>
      <c r="K186" s="24"/>
      <c r="L186" s="24"/>
      <c r="M186" s="62"/>
      <c r="N186" s="24"/>
      <c r="O186" s="25"/>
      <c r="P186" s="25"/>
      <c r="Q186" s="25"/>
    </row>
    <row r="187" spans="2:17" x14ac:dyDescent="0.3">
      <c r="B187" s="24"/>
      <c r="C187" s="92"/>
      <c r="D187" s="92"/>
      <c r="E187" s="24"/>
      <c r="F187" s="24"/>
      <c r="G187" s="62"/>
      <c r="H187" s="24"/>
      <c r="I187" s="92"/>
      <c r="J187" s="92"/>
      <c r="K187" s="24"/>
      <c r="L187" s="24"/>
      <c r="M187" s="62"/>
      <c r="N187" s="24"/>
      <c r="O187" s="25"/>
      <c r="P187" s="25"/>
      <c r="Q187" s="25"/>
    </row>
    <row r="188" spans="2:17" x14ac:dyDescent="0.3">
      <c r="B188" s="24"/>
      <c r="C188" s="92"/>
      <c r="D188" s="92"/>
      <c r="E188" s="24"/>
      <c r="F188" s="24"/>
      <c r="G188" s="62"/>
      <c r="H188" s="24"/>
      <c r="I188" s="92"/>
      <c r="J188" s="92"/>
      <c r="K188" s="24"/>
      <c r="L188" s="24"/>
      <c r="M188" s="62"/>
      <c r="N188" s="24"/>
      <c r="O188" s="25"/>
      <c r="P188" s="25"/>
      <c r="Q188" s="25"/>
    </row>
    <row r="189" spans="2:17" x14ac:dyDescent="0.3">
      <c r="B189" s="24"/>
      <c r="C189" s="92"/>
      <c r="D189" s="92"/>
      <c r="E189" s="24"/>
      <c r="F189" s="24"/>
      <c r="G189" s="62"/>
      <c r="H189" s="24"/>
      <c r="I189" s="92"/>
      <c r="J189" s="92"/>
      <c r="K189" s="24"/>
      <c r="L189" s="24"/>
      <c r="M189" s="62"/>
      <c r="N189" s="24"/>
      <c r="O189" s="25"/>
      <c r="P189" s="25"/>
      <c r="Q189" s="25"/>
    </row>
    <row r="190" spans="2:17" x14ac:dyDescent="0.3">
      <c r="B190" s="24"/>
      <c r="C190" s="92"/>
      <c r="D190" s="92"/>
      <c r="E190" s="24"/>
      <c r="F190" s="24"/>
      <c r="G190" s="62"/>
      <c r="H190" s="24"/>
      <c r="I190" s="92"/>
      <c r="J190" s="92"/>
      <c r="K190" s="24"/>
      <c r="L190" s="24"/>
      <c r="M190" s="62"/>
      <c r="N190" s="24"/>
      <c r="O190" s="25"/>
      <c r="P190" s="25"/>
      <c r="Q190" s="25"/>
    </row>
    <row r="191" spans="2:17" x14ac:dyDescent="0.3">
      <c r="B191" s="24"/>
      <c r="C191" s="92"/>
      <c r="D191" s="92"/>
      <c r="E191" s="24"/>
      <c r="F191" s="24"/>
      <c r="G191" s="62"/>
      <c r="H191" s="24"/>
      <c r="I191" s="92"/>
      <c r="J191" s="92"/>
      <c r="K191" s="24"/>
      <c r="L191" s="24"/>
      <c r="M191" s="62"/>
      <c r="N191" s="24"/>
      <c r="O191" s="25"/>
      <c r="P191" s="25"/>
      <c r="Q191" s="25"/>
    </row>
    <row r="192" spans="2:17" x14ac:dyDescent="0.3">
      <c r="B192" s="24"/>
      <c r="C192" s="92"/>
      <c r="D192" s="92"/>
      <c r="E192" s="24"/>
      <c r="F192" s="24"/>
      <c r="G192" s="62"/>
      <c r="H192" s="24"/>
      <c r="I192" s="92"/>
      <c r="J192" s="92"/>
      <c r="K192" s="24"/>
      <c r="L192" s="24"/>
      <c r="M192" s="62"/>
      <c r="N192" s="24"/>
      <c r="O192" s="25"/>
      <c r="P192" s="25"/>
      <c r="Q192" s="25"/>
    </row>
    <row r="193" spans="2:17" x14ac:dyDescent="0.3">
      <c r="B193" s="24"/>
      <c r="C193" s="92"/>
      <c r="D193" s="92"/>
      <c r="E193" s="24"/>
      <c r="F193" s="24"/>
      <c r="G193" s="62"/>
      <c r="H193" s="24"/>
      <c r="I193" s="92"/>
      <c r="J193" s="92"/>
      <c r="K193" s="24"/>
      <c r="L193" s="24"/>
      <c r="M193" s="62"/>
      <c r="N193" s="24"/>
      <c r="O193" s="25"/>
      <c r="P193" s="25"/>
      <c r="Q193" s="25"/>
    </row>
    <row r="194" spans="2:17" x14ac:dyDescent="0.3">
      <c r="B194" s="24"/>
      <c r="C194" s="92"/>
      <c r="D194" s="92"/>
      <c r="E194" s="24"/>
      <c r="F194" s="24"/>
      <c r="G194" s="62"/>
      <c r="H194" s="24"/>
      <c r="I194" s="92"/>
      <c r="J194" s="92"/>
      <c r="K194" s="24"/>
      <c r="L194" s="24"/>
      <c r="M194" s="62"/>
      <c r="N194" s="24"/>
      <c r="O194" s="25"/>
      <c r="P194" s="25"/>
      <c r="Q194" s="25"/>
    </row>
    <row r="195" spans="2:17" x14ac:dyDescent="0.3">
      <c r="B195" s="24"/>
      <c r="C195" s="92"/>
      <c r="D195" s="92"/>
      <c r="E195" s="24"/>
      <c r="F195" s="24"/>
      <c r="G195" s="62"/>
      <c r="H195" s="24"/>
      <c r="I195" s="92"/>
      <c r="J195" s="92"/>
      <c r="K195" s="24"/>
      <c r="L195" s="24"/>
      <c r="M195" s="62"/>
      <c r="N195" s="24"/>
      <c r="O195" s="25"/>
      <c r="P195" s="25"/>
      <c r="Q195" s="25"/>
    </row>
    <row r="196" spans="2:17" x14ac:dyDescent="0.3">
      <c r="B196" s="24"/>
      <c r="C196" s="92"/>
      <c r="D196" s="92"/>
      <c r="E196" s="24"/>
      <c r="F196" s="24"/>
      <c r="G196" s="62"/>
      <c r="H196" s="24"/>
      <c r="I196" s="92"/>
      <c r="J196" s="92"/>
      <c r="K196" s="24"/>
      <c r="L196" s="24"/>
      <c r="M196" s="62"/>
      <c r="N196" s="24"/>
      <c r="O196" s="25"/>
      <c r="P196" s="25"/>
      <c r="Q196" s="25"/>
    </row>
    <row r="197" spans="2:17" x14ac:dyDescent="0.3">
      <c r="B197" s="24"/>
      <c r="C197" s="92"/>
      <c r="D197" s="92"/>
      <c r="E197" s="24"/>
      <c r="F197" s="24"/>
      <c r="G197" s="62"/>
      <c r="H197" s="24"/>
      <c r="I197" s="92"/>
      <c r="J197" s="92"/>
      <c r="K197" s="24"/>
      <c r="L197" s="24"/>
      <c r="M197" s="62"/>
      <c r="N197" s="24"/>
      <c r="O197" s="25"/>
      <c r="P197" s="25"/>
      <c r="Q197" s="25"/>
    </row>
    <row r="198" spans="2:17" x14ac:dyDescent="0.3">
      <c r="B198" s="24"/>
      <c r="C198" s="92"/>
      <c r="D198" s="92"/>
      <c r="E198" s="24"/>
      <c r="F198" s="24"/>
      <c r="G198" s="62"/>
      <c r="H198" s="24"/>
      <c r="I198" s="92"/>
      <c r="J198" s="92"/>
      <c r="K198" s="24"/>
      <c r="L198" s="24"/>
      <c r="M198" s="62"/>
      <c r="N198" s="24"/>
      <c r="O198" s="25"/>
      <c r="P198" s="25"/>
      <c r="Q198" s="25"/>
    </row>
    <row r="199" spans="2:17" x14ac:dyDescent="0.3">
      <c r="B199" s="24"/>
      <c r="C199" s="92"/>
      <c r="D199" s="92"/>
      <c r="E199" s="24"/>
      <c r="F199" s="24"/>
      <c r="G199" s="62"/>
      <c r="H199" s="24"/>
      <c r="I199" s="92"/>
      <c r="J199" s="92"/>
      <c r="K199" s="24"/>
      <c r="L199" s="24"/>
      <c r="M199" s="62"/>
      <c r="N199" s="24"/>
      <c r="O199" s="25"/>
      <c r="P199" s="25"/>
      <c r="Q199" s="25"/>
    </row>
    <row r="200" spans="2:17" x14ac:dyDescent="0.3">
      <c r="B200" s="24"/>
      <c r="C200" s="92"/>
      <c r="D200" s="92"/>
      <c r="E200" s="24"/>
      <c r="F200" s="24"/>
      <c r="G200" s="62"/>
      <c r="H200" s="24"/>
      <c r="I200" s="92"/>
      <c r="J200" s="92"/>
      <c r="K200" s="24"/>
      <c r="L200" s="24"/>
      <c r="M200" s="62"/>
      <c r="N200" s="24"/>
      <c r="O200" s="25"/>
      <c r="P200" s="25"/>
      <c r="Q200" s="25"/>
    </row>
    <row r="201" spans="2:17" x14ac:dyDescent="0.3">
      <c r="B201" s="24"/>
      <c r="C201" s="92"/>
      <c r="D201" s="92"/>
      <c r="E201" s="24"/>
      <c r="F201" s="24"/>
      <c r="G201" s="62"/>
      <c r="H201" s="24"/>
      <c r="I201" s="92"/>
      <c r="J201" s="92"/>
      <c r="K201" s="24"/>
      <c r="L201" s="24"/>
      <c r="M201" s="62"/>
      <c r="N201" s="24"/>
      <c r="O201" s="25"/>
      <c r="P201" s="25"/>
      <c r="Q201" s="25"/>
    </row>
    <row r="202" spans="2:17" x14ac:dyDescent="0.3">
      <c r="B202" s="24"/>
      <c r="C202" s="92"/>
      <c r="D202" s="92"/>
      <c r="E202" s="24"/>
      <c r="F202" s="24"/>
      <c r="G202" s="62"/>
      <c r="H202" s="24"/>
      <c r="I202" s="92"/>
      <c r="J202" s="92"/>
      <c r="K202" s="24"/>
      <c r="L202" s="24"/>
      <c r="M202" s="62"/>
      <c r="N202" s="24"/>
      <c r="O202" s="25"/>
      <c r="P202" s="25"/>
      <c r="Q202" s="25"/>
    </row>
    <row r="203" spans="2:17" x14ac:dyDescent="0.3">
      <c r="B203" s="24"/>
      <c r="C203" s="92"/>
      <c r="D203" s="92"/>
      <c r="E203" s="24"/>
      <c r="F203" s="24"/>
      <c r="G203" s="62"/>
      <c r="H203" s="24"/>
      <c r="I203" s="92"/>
      <c r="J203" s="92"/>
      <c r="K203" s="24"/>
      <c r="L203" s="24"/>
      <c r="M203" s="62"/>
      <c r="N203" s="24"/>
      <c r="O203" s="25"/>
      <c r="P203" s="25"/>
      <c r="Q203" s="25"/>
    </row>
    <row r="204" spans="2:17" x14ac:dyDescent="0.3">
      <c r="B204" s="24"/>
      <c r="C204" s="92"/>
      <c r="D204" s="92"/>
      <c r="E204" s="24"/>
      <c r="F204" s="24"/>
      <c r="G204" s="62"/>
      <c r="H204" s="24"/>
      <c r="I204" s="92"/>
      <c r="J204" s="92"/>
      <c r="K204" s="24"/>
      <c r="L204" s="24"/>
      <c r="M204" s="62"/>
      <c r="N204" s="24"/>
      <c r="O204" s="25"/>
      <c r="P204" s="25"/>
      <c r="Q204" s="25"/>
    </row>
    <row r="205" spans="2:17" x14ac:dyDescent="0.3">
      <c r="B205" s="24"/>
      <c r="C205" s="92"/>
      <c r="D205" s="92"/>
      <c r="E205" s="24"/>
      <c r="F205" s="24"/>
      <c r="G205" s="62"/>
      <c r="H205" s="24"/>
      <c r="I205" s="92"/>
      <c r="J205" s="92"/>
      <c r="K205" s="24"/>
      <c r="L205" s="24"/>
      <c r="M205" s="62"/>
      <c r="N205" s="24"/>
      <c r="O205" s="25"/>
      <c r="P205" s="25"/>
      <c r="Q205" s="25"/>
    </row>
    <row r="206" spans="2:17" x14ac:dyDescent="0.3">
      <c r="B206" s="24"/>
      <c r="C206" s="92"/>
      <c r="D206" s="92"/>
      <c r="E206" s="24"/>
      <c r="F206" s="24"/>
      <c r="G206" s="62"/>
      <c r="H206" s="24"/>
      <c r="I206" s="92"/>
      <c r="J206" s="92"/>
      <c r="K206" s="24"/>
      <c r="L206" s="24"/>
      <c r="M206" s="62"/>
      <c r="N206" s="24"/>
      <c r="O206" s="25"/>
      <c r="P206" s="25"/>
      <c r="Q206" s="25"/>
    </row>
    <row r="207" spans="2:17" x14ac:dyDescent="0.3">
      <c r="B207" s="24"/>
      <c r="C207" s="92"/>
      <c r="D207" s="92"/>
      <c r="E207" s="24"/>
      <c r="F207" s="24"/>
      <c r="G207" s="62"/>
      <c r="H207" s="24"/>
      <c r="I207" s="92"/>
      <c r="J207" s="92"/>
      <c r="K207" s="24"/>
      <c r="L207" s="24"/>
      <c r="M207" s="62"/>
      <c r="N207" s="24"/>
      <c r="O207" s="25"/>
      <c r="P207" s="25"/>
      <c r="Q207" s="25"/>
    </row>
    <row r="208" spans="2:17" x14ac:dyDescent="0.3">
      <c r="B208" s="24"/>
      <c r="C208" s="92"/>
      <c r="D208" s="92"/>
      <c r="E208" s="24"/>
      <c r="F208" s="24"/>
      <c r="G208" s="62"/>
      <c r="H208" s="24"/>
      <c r="I208" s="92"/>
      <c r="J208" s="92"/>
      <c r="K208" s="24"/>
      <c r="L208" s="24"/>
      <c r="M208" s="62"/>
      <c r="N208" s="24"/>
      <c r="O208" s="25"/>
      <c r="P208" s="25"/>
      <c r="Q208" s="25"/>
    </row>
    <row r="209" spans="2:17" x14ac:dyDescent="0.3">
      <c r="B209" s="24"/>
      <c r="C209" s="92"/>
      <c r="D209" s="92"/>
      <c r="E209" s="24"/>
      <c r="F209" s="24"/>
      <c r="G209" s="62"/>
      <c r="H209" s="24"/>
      <c r="I209" s="92"/>
      <c r="J209" s="92"/>
      <c r="K209" s="24"/>
      <c r="L209" s="24"/>
      <c r="M209" s="62"/>
      <c r="N209" s="24"/>
      <c r="O209" s="25"/>
      <c r="P209" s="25"/>
      <c r="Q209" s="25"/>
    </row>
    <row r="210" spans="2:17" x14ac:dyDescent="0.3">
      <c r="B210" s="24"/>
      <c r="C210" s="92"/>
      <c r="D210" s="92"/>
      <c r="E210" s="24"/>
      <c r="F210" s="24"/>
      <c r="G210" s="62"/>
      <c r="H210" s="24"/>
      <c r="I210" s="92"/>
      <c r="J210" s="92"/>
      <c r="K210" s="24"/>
      <c r="L210" s="24"/>
      <c r="M210" s="62"/>
      <c r="N210" s="24"/>
      <c r="O210" s="25"/>
      <c r="P210" s="25"/>
      <c r="Q210" s="25"/>
    </row>
    <row r="211" spans="2:17" x14ac:dyDescent="0.3">
      <c r="B211" s="24"/>
      <c r="C211" s="92"/>
      <c r="D211" s="92"/>
      <c r="E211" s="24"/>
      <c r="F211" s="24"/>
      <c r="G211" s="62"/>
      <c r="H211" s="24"/>
      <c r="I211" s="92"/>
      <c r="J211" s="92"/>
      <c r="K211" s="24"/>
      <c r="L211" s="24"/>
      <c r="M211" s="62"/>
      <c r="N211" s="24"/>
      <c r="O211" s="25"/>
      <c r="P211" s="25"/>
      <c r="Q211" s="25"/>
    </row>
    <row r="212" spans="2:17" x14ac:dyDescent="0.3">
      <c r="B212" s="24"/>
      <c r="C212" s="92"/>
      <c r="D212" s="92"/>
      <c r="E212" s="24"/>
      <c r="F212" s="24"/>
      <c r="G212" s="62"/>
      <c r="H212" s="24"/>
      <c r="I212" s="92"/>
      <c r="J212" s="92"/>
      <c r="K212" s="24"/>
      <c r="L212" s="24"/>
      <c r="M212" s="62"/>
      <c r="N212" s="24"/>
      <c r="O212" s="25"/>
      <c r="P212" s="25"/>
      <c r="Q212" s="25"/>
    </row>
    <row r="213" spans="2:17" x14ac:dyDescent="0.3">
      <c r="B213" s="24"/>
      <c r="C213" s="92"/>
      <c r="D213" s="92"/>
      <c r="E213" s="24"/>
      <c r="F213" s="24"/>
      <c r="G213" s="62"/>
      <c r="H213" s="24"/>
      <c r="I213" s="92"/>
      <c r="J213" s="92"/>
      <c r="K213" s="24"/>
      <c r="L213" s="24"/>
      <c r="M213" s="62"/>
      <c r="N213" s="24"/>
      <c r="O213" s="25"/>
      <c r="P213" s="25"/>
      <c r="Q213" s="25"/>
    </row>
    <row r="214" spans="2:17" x14ac:dyDescent="0.3">
      <c r="B214" s="24"/>
      <c r="C214" s="92"/>
      <c r="D214" s="92"/>
      <c r="E214" s="24"/>
      <c r="F214" s="24"/>
      <c r="G214" s="62"/>
      <c r="H214" s="24"/>
      <c r="I214" s="92"/>
      <c r="J214" s="92"/>
      <c r="K214" s="24"/>
      <c r="L214" s="24"/>
      <c r="M214" s="62"/>
      <c r="N214" s="24"/>
      <c r="O214" s="25"/>
      <c r="P214" s="25"/>
      <c r="Q214" s="25"/>
    </row>
    <row r="215" spans="2:17" x14ac:dyDescent="0.3">
      <c r="B215" s="24"/>
      <c r="C215" s="92"/>
      <c r="D215" s="92"/>
      <c r="E215" s="24"/>
      <c r="F215" s="24"/>
      <c r="G215" s="62"/>
      <c r="H215" s="24"/>
      <c r="I215" s="92"/>
      <c r="J215" s="92"/>
      <c r="K215" s="24"/>
      <c r="L215" s="24"/>
      <c r="M215" s="62"/>
      <c r="N215" s="24"/>
      <c r="O215" s="25"/>
      <c r="P215" s="25"/>
      <c r="Q215" s="25"/>
    </row>
    <row r="216" spans="2:17" x14ac:dyDescent="0.3">
      <c r="B216" s="24"/>
      <c r="C216" s="92"/>
      <c r="D216" s="92"/>
      <c r="E216" s="24"/>
      <c r="F216" s="24"/>
      <c r="G216" s="62"/>
      <c r="H216" s="24"/>
      <c r="I216" s="92"/>
      <c r="J216" s="92"/>
      <c r="K216" s="24"/>
      <c r="L216" s="24"/>
      <c r="M216" s="62"/>
      <c r="N216" s="24"/>
      <c r="O216" s="25"/>
      <c r="P216" s="25"/>
      <c r="Q216" s="25"/>
    </row>
    <row r="217" spans="2:17" x14ac:dyDescent="0.3">
      <c r="B217" s="24"/>
      <c r="C217" s="92"/>
      <c r="D217" s="92"/>
      <c r="E217" s="24"/>
      <c r="F217" s="24"/>
      <c r="G217" s="62"/>
      <c r="H217" s="24"/>
      <c r="I217" s="92"/>
      <c r="J217" s="92"/>
      <c r="K217" s="24"/>
      <c r="L217" s="24"/>
      <c r="M217" s="62"/>
      <c r="N217" s="24"/>
      <c r="O217" s="25"/>
      <c r="P217" s="25"/>
      <c r="Q217" s="25"/>
    </row>
    <row r="218" spans="2:17" x14ac:dyDescent="0.3">
      <c r="B218" s="24"/>
      <c r="C218" s="92"/>
      <c r="D218" s="92"/>
      <c r="E218" s="24"/>
      <c r="F218" s="24"/>
      <c r="G218" s="62"/>
      <c r="H218" s="24"/>
      <c r="I218" s="92"/>
      <c r="J218" s="92"/>
      <c r="K218" s="24"/>
      <c r="L218" s="24"/>
      <c r="M218" s="62"/>
      <c r="N218" s="24"/>
      <c r="O218" s="25"/>
      <c r="P218" s="25"/>
      <c r="Q218" s="25"/>
    </row>
    <row r="219" spans="2:17" x14ac:dyDescent="0.3">
      <c r="B219" s="24"/>
      <c r="C219" s="92"/>
      <c r="D219" s="92"/>
      <c r="E219" s="24"/>
      <c r="F219" s="24"/>
      <c r="G219" s="62"/>
      <c r="H219" s="24"/>
      <c r="I219" s="92"/>
      <c r="J219" s="92"/>
      <c r="K219" s="24"/>
      <c r="L219" s="24"/>
      <c r="M219" s="62"/>
      <c r="N219" s="24"/>
      <c r="O219" s="25"/>
      <c r="P219" s="25"/>
      <c r="Q219" s="25"/>
    </row>
    <row r="220" spans="2:17" x14ac:dyDescent="0.3">
      <c r="B220" s="24"/>
      <c r="C220" s="92"/>
      <c r="D220" s="92"/>
      <c r="E220" s="24"/>
      <c r="F220" s="24"/>
      <c r="G220" s="62"/>
      <c r="H220" s="24"/>
      <c r="I220" s="92"/>
      <c r="J220" s="92"/>
      <c r="K220" s="24"/>
      <c r="L220" s="24"/>
      <c r="M220" s="62"/>
      <c r="N220" s="24"/>
      <c r="O220" s="25"/>
      <c r="P220" s="25"/>
      <c r="Q220" s="25"/>
    </row>
    <row r="221" spans="2:17" x14ac:dyDescent="0.3">
      <c r="B221" s="24"/>
      <c r="C221" s="92"/>
      <c r="D221" s="92"/>
      <c r="E221" s="24"/>
      <c r="F221" s="24"/>
      <c r="G221" s="62"/>
      <c r="H221" s="24"/>
      <c r="I221" s="92"/>
      <c r="J221" s="92"/>
      <c r="K221" s="24"/>
      <c r="L221" s="24"/>
      <c r="M221" s="62"/>
      <c r="N221" s="24"/>
      <c r="O221" s="25"/>
      <c r="P221" s="25"/>
      <c r="Q221" s="25"/>
    </row>
    <row r="222" spans="2:17" x14ac:dyDescent="0.3">
      <c r="B222" s="24"/>
      <c r="C222" s="92"/>
      <c r="D222" s="92"/>
      <c r="E222" s="24"/>
      <c r="F222" s="24"/>
      <c r="G222" s="62"/>
      <c r="H222" s="24"/>
      <c r="I222" s="92"/>
      <c r="J222" s="92"/>
      <c r="K222" s="24"/>
      <c r="L222" s="24"/>
      <c r="M222" s="62"/>
      <c r="N222" s="24"/>
      <c r="O222" s="25"/>
      <c r="P222" s="25"/>
      <c r="Q222" s="25"/>
    </row>
    <row r="223" spans="2:17" x14ac:dyDescent="0.3">
      <c r="B223" s="24"/>
      <c r="C223" s="92"/>
      <c r="D223" s="92"/>
      <c r="E223" s="24"/>
      <c r="F223" s="24"/>
      <c r="G223" s="62"/>
      <c r="H223" s="24"/>
      <c r="I223" s="92"/>
      <c r="J223" s="92"/>
      <c r="K223" s="24"/>
      <c r="L223" s="24"/>
      <c r="M223" s="62"/>
      <c r="N223" s="24"/>
      <c r="O223" s="25"/>
      <c r="P223" s="25"/>
      <c r="Q223" s="25"/>
    </row>
    <row r="224" spans="2:17" x14ac:dyDescent="0.3">
      <c r="B224" s="24"/>
      <c r="C224" s="92"/>
      <c r="D224" s="92"/>
      <c r="E224" s="24"/>
      <c r="F224" s="24"/>
      <c r="G224" s="62"/>
      <c r="H224" s="24"/>
      <c r="I224" s="92"/>
      <c r="J224" s="92"/>
      <c r="K224" s="24"/>
      <c r="L224" s="24"/>
      <c r="M224" s="62"/>
      <c r="N224" s="24"/>
      <c r="O224" s="25"/>
      <c r="P224" s="25"/>
      <c r="Q224" s="25"/>
    </row>
    <row r="225" spans="2:17" x14ac:dyDescent="0.3">
      <c r="B225" s="24"/>
      <c r="C225" s="92"/>
      <c r="D225" s="92"/>
      <c r="E225" s="24"/>
      <c r="F225" s="24"/>
      <c r="G225" s="62"/>
      <c r="H225" s="24"/>
      <c r="I225" s="92"/>
      <c r="J225" s="92"/>
      <c r="K225" s="24"/>
      <c r="L225" s="24"/>
      <c r="M225" s="62"/>
      <c r="N225" s="24"/>
      <c r="O225" s="25"/>
      <c r="P225" s="25"/>
      <c r="Q225" s="25"/>
    </row>
    <row r="226" spans="2:17" x14ac:dyDescent="0.3">
      <c r="B226" s="24"/>
      <c r="C226" s="92"/>
      <c r="D226" s="92"/>
      <c r="E226" s="24"/>
      <c r="F226" s="24"/>
      <c r="G226" s="62"/>
      <c r="H226" s="24"/>
      <c r="I226" s="92"/>
      <c r="J226" s="92"/>
      <c r="K226" s="24"/>
      <c r="L226" s="24"/>
      <c r="M226" s="62"/>
      <c r="N226" s="24"/>
      <c r="O226" s="25"/>
      <c r="P226" s="25"/>
      <c r="Q226" s="25"/>
    </row>
    <row r="227" spans="2:17" x14ac:dyDescent="0.3">
      <c r="B227" s="24"/>
      <c r="C227" s="92"/>
      <c r="D227" s="92"/>
      <c r="E227" s="24"/>
      <c r="F227" s="24"/>
      <c r="G227" s="62"/>
      <c r="H227" s="24"/>
      <c r="I227" s="92"/>
      <c r="J227" s="92"/>
      <c r="K227" s="24"/>
      <c r="L227" s="24"/>
      <c r="M227" s="62"/>
      <c r="N227" s="24"/>
      <c r="O227" s="25"/>
      <c r="P227" s="25"/>
      <c r="Q227" s="25"/>
    </row>
    <row r="228" spans="2:17" x14ac:dyDescent="0.3">
      <c r="B228" s="24"/>
      <c r="C228" s="92"/>
      <c r="D228" s="92"/>
      <c r="E228" s="24"/>
      <c r="F228" s="24"/>
      <c r="G228" s="62"/>
      <c r="H228" s="24"/>
      <c r="I228" s="92"/>
      <c r="J228" s="92"/>
      <c r="K228" s="24"/>
      <c r="L228" s="24"/>
      <c r="M228" s="62"/>
      <c r="N228" s="24"/>
      <c r="O228" s="25"/>
      <c r="P228" s="25"/>
      <c r="Q228" s="25"/>
    </row>
    <row r="229" spans="2:17" x14ac:dyDescent="0.3">
      <c r="B229" s="24"/>
      <c r="C229" s="92"/>
      <c r="D229" s="92"/>
      <c r="E229" s="24"/>
      <c r="F229" s="24"/>
      <c r="G229" s="62"/>
      <c r="H229" s="24"/>
      <c r="I229" s="92"/>
      <c r="J229" s="92"/>
      <c r="K229" s="24"/>
      <c r="L229" s="24"/>
      <c r="M229" s="62"/>
      <c r="N229" s="24"/>
      <c r="O229" s="25"/>
      <c r="P229" s="25"/>
      <c r="Q229" s="25"/>
    </row>
    <row r="230" spans="2:17" x14ac:dyDescent="0.3">
      <c r="B230" s="24"/>
      <c r="C230" s="92"/>
      <c r="D230" s="92"/>
      <c r="E230" s="24"/>
      <c r="F230" s="24"/>
      <c r="G230" s="62"/>
      <c r="H230" s="24"/>
      <c r="I230" s="92"/>
      <c r="J230" s="92"/>
      <c r="K230" s="24"/>
      <c r="L230" s="24"/>
      <c r="M230" s="62"/>
      <c r="N230" s="24"/>
      <c r="O230" s="25"/>
      <c r="P230" s="25"/>
      <c r="Q230" s="25"/>
    </row>
    <row r="231" spans="2:17" x14ac:dyDescent="0.3">
      <c r="B231" s="24"/>
      <c r="C231" s="92"/>
      <c r="D231" s="92"/>
      <c r="E231" s="24"/>
      <c r="F231" s="24"/>
      <c r="G231" s="62"/>
      <c r="H231" s="24"/>
      <c r="I231" s="92"/>
      <c r="J231" s="92"/>
      <c r="K231" s="24"/>
      <c r="L231" s="24"/>
      <c r="M231" s="62"/>
      <c r="N231" s="24"/>
      <c r="O231" s="25"/>
      <c r="P231" s="25"/>
      <c r="Q231" s="25"/>
    </row>
    <row r="232" spans="2:17" x14ac:dyDescent="0.3">
      <c r="B232" s="24"/>
      <c r="C232" s="92"/>
      <c r="D232" s="92"/>
      <c r="E232" s="24"/>
      <c r="F232" s="24"/>
      <c r="G232" s="62"/>
      <c r="H232" s="24"/>
      <c r="I232" s="92"/>
      <c r="J232" s="92"/>
      <c r="K232" s="24"/>
      <c r="L232" s="24"/>
      <c r="M232" s="62"/>
      <c r="N232" s="24"/>
      <c r="O232" s="25"/>
      <c r="P232" s="25"/>
      <c r="Q232" s="25"/>
    </row>
    <row r="233" spans="2:17" x14ac:dyDescent="0.3">
      <c r="B233" s="24"/>
      <c r="C233" s="92"/>
      <c r="D233" s="92"/>
      <c r="E233" s="24"/>
      <c r="F233" s="24"/>
      <c r="G233" s="62"/>
      <c r="H233" s="24"/>
      <c r="I233" s="92"/>
      <c r="J233" s="92"/>
      <c r="K233" s="24"/>
      <c r="L233" s="24"/>
      <c r="M233" s="62"/>
      <c r="N233" s="24"/>
      <c r="O233" s="25"/>
      <c r="P233" s="25"/>
      <c r="Q233" s="25"/>
    </row>
    <row r="234" spans="2:17" x14ac:dyDescent="0.3">
      <c r="B234" s="24"/>
      <c r="C234" s="92"/>
      <c r="D234" s="92"/>
      <c r="E234" s="24"/>
      <c r="F234" s="24"/>
      <c r="G234" s="62"/>
      <c r="H234" s="24"/>
      <c r="I234" s="92"/>
      <c r="J234" s="92"/>
      <c r="K234" s="24"/>
      <c r="L234" s="24"/>
      <c r="M234" s="62"/>
      <c r="N234" s="24"/>
      <c r="O234" s="25"/>
      <c r="P234" s="25"/>
      <c r="Q234" s="25"/>
    </row>
    <row r="235" spans="2:17" x14ac:dyDescent="0.3">
      <c r="B235" s="24"/>
      <c r="C235" s="92"/>
      <c r="D235" s="92"/>
      <c r="E235" s="24"/>
      <c r="F235" s="24"/>
      <c r="G235" s="62"/>
      <c r="H235" s="24"/>
      <c r="I235" s="92"/>
      <c r="J235" s="92"/>
      <c r="K235" s="24"/>
      <c r="L235" s="24"/>
      <c r="M235" s="62"/>
      <c r="N235" s="24"/>
      <c r="O235" s="25"/>
      <c r="P235" s="25"/>
      <c r="Q235" s="25"/>
    </row>
    <row r="236" spans="2:17" x14ac:dyDescent="0.3">
      <c r="B236" s="24"/>
      <c r="C236" s="92"/>
      <c r="D236" s="92"/>
      <c r="E236" s="24"/>
      <c r="F236" s="24"/>
      <c r="G236" s="62"/>
      <c r="H236" s="24"/>
      <c r="I236" s="92"/>
      <c r="J236" s="92"/>
      <c r="K236" s="24"/>
      <c r="L236" s="24"/>
      <c r="M236" s="62"/>
      <c r="N236" s="24"/>
      <c r="O236" s="25"/>
      <c r="P236" s="25"/>
      <c r="Q236" s="25"/>
    </row>
    <row r="237" spans="2:17" x14ac:dyDescent="0.3">
      <c r="B237" s="24"/>
      <c r="C237" s="92"/>
      <c r="D237" s="92"/>
      <c r="E237" s="24"/>
      <c r="F237" s="24"/>
      <c r="G237" s="62"/>
      <c r="H237" s="24"/>
      <c r="I237" s="92"/>
      <c r="J237" s="92"/>
      <c r="K237" s="24"/>
      <c r="L237" s="24"/>
      <c r="M237" s="62"/>
      <c r="N237" s="24"/>
      <c r="O237" s="25"/>
      <c r="P237" s="25"/>
      <c r="Q237" s="25"/>
    </row>
    <row r="238" spans="2:17" x14ac:dyDescent="0.3">
      <c r="B238" s="24"/>
      <c r="C238" s="92"/>
      <c r="D238" s="92"/>
      <c r="E238" s="24"/>
      <c r="F238" s="24"/>
      <c r="G238" s="62"/>
      <c r="H238" s="24"/>
      <c r="I238" s="92"/>
      <c r="J238" s="92"/>
      <c r="K238" s="24"/>
      <c r="L238" s="24"/>
      <c r="M238" s="62"/>
      <c r="N238" s="24"/>
      <c r="O238" s="25"/>
      <c r="P238" s="25"/>
      <c r="Q238" s="25"/>
    </row>
    <row r="239" spans="2:17" x14ac:dyDescent="0.3">
      <c r="B239" s="24"/>
      <c r="C239" s="92"/>
      <c r="D239" s="92"/>
      <c r="E239" s="24"/>
      <c r="F239" s="24"/>
      <c r="G239" s="62"/>
      <c r="H239" s="24"/>
      <c r="I239" s="92"/>
      <c r="J239" s="92"/>
      <c r="K239" s="24"/>
      <c r="L239" s="24"/>
      <c r="M239" s="62"/>
      <c r="N239" s="24"/>
      <c r="O239" s="25"/>
      <c r="P239" s="25"/>
      <c r="Q239" s="25"/>
    </row>
    <row r="240" spans="2:17" x14ac:dyDescent="0.3">
      <c r="B240" s="24"/>
      <c r="C240" s="92"/>
      <c r="D240" s="92"/>
      <c r="E240" s="24"/>
      <c r="F240" s="24"/>
      <c r="G240" s="62"/>
      <c r="H240" s="24"/>
      <c r="I240" s="92"/>
      <c r="J240" s="92"/>
      <c r="K240" s="24"/>
      <c r="L240" s="24"/>
      <c r="M240" s="62"/>
      <c r="N240" s="24"/>
      <c r="O240" s="25"/>
      <c r="P240" s="25"/>
      <c r="Q240" s="25"/>
    </row>
    <row r="241" spans="2:17" x14ac:dyDescent="0.3">
      <c r="B241" s="24"/>
      <c r="C241" s="92"/>
      <c r="D241" s="92"/>
      <c r="E241" s="24"/>
      <c r="F241" s="24"/>
      <c r="G241" s="62"/>
      <c r="H241" s="24"/>
      <c r="I241" s="92"/>
      <c r="J241" s="92"/>
      <c r="K241" s="24"/>
      <c r="L241" s="24"/>
      <c r="M241" s="62"/>
      <c r="N241" s="24"/>
      <c r="O241" s="25"/>
      <c r="P241" s="25"/>
      <c r="Q241" s="25"/>
    </row>
    <row r="242" spans="2:17" x14ac:dyDescent="0.3">
      <c r="B242" s="24"/>
      <c r="C242" s="92"/>
      <c r="D242" s="92"/>
      <c r="E242" s="24"/>
      <c r="F242" s="24"/>
      <c r="G242" s="62"/>
      <c r="H242" s="24"/>
      <c r="I242" s="92"/>
      <c r="J242" s="92"/>
      <c r="K242" s="24"/>
      <c r="L242" s="24"/>
      <c r="M242" s="62"/>
      <c r="N242" s="24"/>
      <c r="O242" s="25"/>
      <c r="P242" s="25"/>
      <c r="Q242" s="25"/>
    </row>
    <row r="243" spans="2:17" x14ac:dyDescent="0.3">
      <c r="B243" s="24"/>
      <c r="C243" s="92"/>
      <c r="D243" s="92"/>
      <c r="E243" s="24"/>
      <c r="F243" s="24"/>
      <c r="G243" s="62"/>
      <c r="H243" s="24"/>
      <c r="I243" s="92"/>
      <c r="J243" s="92"/>
      <c r="K243" s="24"/>
      <c r="L243" s="24"/>
      <c r="M243" s="62"/>
      <c r="N243" s="24"/>
      <c r="O243" s="25"/>
      <c r="P243" s="25"/>
      <c r="Q243" s="25"/>
    </row>
    <row r="244" spans="2:17" x14ac:dyDescent="0.3">
      <c r="B244" s="24"/>
      <c r="C244" s="92"/>
      <c r="D244" s="92"/>
      <c r="E244" s="24"/>
      <c r="F244" s="24"/>
      <c r="G244" s="62"/>
      <c r="H244" s="24"/>
      <c r="I244" s="92"/>
      <c r="J244" s="92"/>
      <c r="K244" s="24"/>
      <c r="L244" s="24"/>
      <c r="M244" s="62"/>
      <c r="N244" s="24"/>
      <c r="O244" s="25"/>
      <c r="P244" s="25"/>
      <c r="Q244" s="25"/>
    </row>
    <row r="245" spans="2:17" x14ac:dyDescent="0.3">
      <c r="B245" s="24"/>
      <c r="C245" s="92"/>
      <c r="D245" s="92"/>
      <c r="E245" s="24"/>
      <c r="F245" s="24"/>
      <c r="G245" s="62"/>
      <c r="H245" s="24"/>
      <c r="I245" s="92"/>
      <c r="J245" s="92"/>
      <c r="K245" s="24"/>
      <c r="L245" s="24"/>
      <c r="M245" s="62"/>
      <c r="N245" s="24"/>
      <c r="O245" s="25"/>
      <c r="P245" s="25"/>
      <c r="Q245" s="25"/>
    </row>
    <row r="246" spans="2:17" x14ac:dyDescent="0.3">
      <c r="B246" s="24"/>
      <c r="C246" s="92"/>
      <c r="D246" s="92"/>
      <c r="E246" s="24"/>
      <c r="F246" s="24"/>
      <c r="G246" s="62"/>
      <c r="H246" s="24"/>
      <c r="I246" s="92"/>
      <c r="J246" s="92"/>
      <c r="K246" s="24"/>
      <c r="L246" s="24"/>
      <c r="M246" s="62"/>
      <c r="N246" s="24"/>
      <c r="O246" s="25"/>
      <c r="P246" s="25"/>
      <c r="Q246" s="25"/>
    </row>
    <row r="247" spans="2:17" x14ac:dyDescent="0.3">
      <c r="B247" s="24"/>
      <c r="C247" s="92"/>
      <c r="D247" s="92"/>
      <c r="E247" s="24"/>
      <c r="F247" s="24"/>
      <c r="G247" s="62"/>
      <c r="H247" s="24"/>
      <c r="I247" s="92"/>
      <c r="J247" s="92"/>
      <c r="K247" s="24"/>
      <c r="L247" s="24"/>
      <c r="M247" s="62"/>
      <c r="N247" s="24"/>
      <c r="O247" s="25"/>
      <c r="P247" s="25"/>
      <c r="Q247" s="25"/>
    </row>
  </sheetData>
  <mergeCells count="5">
    <mergeCell ref="A2:N2"/>
    <mergeCell ref="B5:G5"/>
    <mergeCell ref="H5:M5"/>
    <mergeCell ref="B24:G24"/>
    <mergeCell ref="H24:M24"/>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indexed="12"/>
    <outlinePr applyStyles="1" summaryBelow="0"/>
    <pageSetUpPr fitToPage="1"/>
  </sheetPr>
  <dimension ref="A2:T232"/>
  <sheetViews>
    <sheetView workbookViewId="0">
      <selection activeCell="A8" sqref="A8"/>
    </sheetView>
  </sheetViews>
  <sheetFormatPr defaultColWidth="9.1796875" defaultRowHeight="13" outlineLevelRow="3" x14ac:dyDescent="0.3"/>
  <cols>
    <col min="1" max="1" width="81.453125" style="103" customWidth="1"/>
    <col min="2" max="2" width="14.26953125" style="22" customWidth="1"/>
    <col min="3" max="3" width="15.453125" style="22" customWidth="1"/>
    <col min="4" max="4" width="10.26953125" style="71" customWidth="1"/>
    <col min="5" max="5" width="8.81640625" style="21" hidden="1" customWidth="1"/>
    <col min="6" max="6" width="9.1796875" style="21" customWidth="1"/>
    <col min="7" max="16384" width="9.1796875" style="21"/>
  </cols>
  <sheetData>
    <row r="2" spans="1:20" ht="36.65" customHeight="1" x14ac:dyDescent="0.45">
      <c r="A2" s="279" t="str">
        <f>DEBT_AS_OF_DATE</f>
        <v>Державний та гарантований державою борг України
станом на 31.12.2024</v>
      </c>
      <c r="B2" s="280"/>
      <c r="C2" s="280"/>
      <c r="D2" s="280"/>
      <c r="E2" s="25"/>
      <c r="F2" s="25"/>
      <c r="G2" s="25"/>
      <c r="H2" s="25"/>
      <c r="I2" s="25"/>
      <c r="J2" s="25"/>
      <c r="K2" s="25"/>
      <c r="L2" s="25"/>
      <c r="M2" s="25"/>
      <c r="N2" s="25"/>
      <c r="O2" s="25"/>
      <c r="P2" s="25"/>
      <c r="Q2" s="25"/>
      <c r="R2" s="25"/>
      <c r="S2" s="25"/>
      <c r="T2" s="25"/>
    </row>
    <row r="3" spans="1:20" ht="18.5" x14ac:dyDescent="0.45">
      <c r="A3" s="282" t="str">
        <f>BY_CREDITOR_TYPE</f>
        <v>(за типом кредитора)</v>
      </c>
      <c r="B3" s="282"/>
      <c r="C3" s="282"/>
      <c r="D3" s="282"/>
    </row>
    <row r="4" spans="1:20" x14ac:dyDescent="0.3">
      <c r="B4" s="24"/>
      <c r="C4" s="24"/>
      <c r="D4" s="62"/>
      <c r="E4" s="25"/>
      <c r="F4" s="25"/>
      <c r="G4" s="25"/>
      <c r="H4" s="25"/>
      <c r="I4" s="25"/>
      <c r="J4" s="25"/>
      <c r="K4" s="25"/>
      <c r="L4" s="25"/>
      <c r="M4" s="25"/>
      <c r="N4" s="25"/>
      <c r="O4" s="25"/>
      <c r="P4" s="25"/>
      <c r="Q4" s="25"/>
      <c r="R4" s="25"/>
    </row>
    <row r="5" spans="1:20" s="26" customFormat="1" x14ac:dyDescent="0.3">
      <c r="B5" s="27"/>
      <c r="C5" s="27"/>
      <c r="D5" s="26" t="str">
        <f>VALVAL</f>
        <v>млрд. одиниць</v>
      </c>
    </row>
    <row r="6" spans="1:20" s="13" customFormat="1" x14ac:dyDescent="0.25">
      <c r="A6" s="11"/>
      <c r="B6" s="67" t="str">
        <f>USD</f>
        <v>дол.США</v>
      </c>
      <c r="C6" s="67" t="str">
        <f>UAH</f>
        <v>грн.</v>
      </c>
      <c r="D6" s="68" t="s">
        <v>0</v>
      </c>
      <c r="E6" s="56" t="s">
        <v>6</v>
      </c>
    </row>
    <row r="7" spans="1:20" s="14" customFormat="1" ht="15.5" x14ac:dyDescent="0.25">
      <c r="A7" s="141" t="str">
        <f>DEBT_TOTAL</f>
        <v>Загальна сума державного та гарантованого державою боргу</v>
      </c>
      <c r="B7" s="118">
        <f>B$20+B$8</f>
        <v>166.05851744312</v>
      </c>
      <c r="C7" s="118">
        <f>C$20+C$8</f>
        <v>6980.9340147853909</v>
      </c>
      <c r="D7" s="119">
        <f>D$20+D$8</f>
        <v>0.99999899999999986</v>
      </c>
      <c r="E7" s="31" t="s">
        <v>51</v>
      </c>
    </row>
    <row r="8" spans="1:20" s="15" customFormat="1" ht="14.5" outlineLevel="1" x14ac:dyDescent="0.25">
      <c r="A8" s="189" t="s">
        <v>1</v>
      </c>
      <c r="B8" s="190">
        <f>B$9+B$12</f>
        <v>159.19557804599</v>
      </c>
      <c r="C8" s="190">
        <f>C$9+C$12</f>
        <v>6692.4229054677808</v>
      </c>
      <c r="D8" s="191">
        <f>D$9+D$12</f>
        <v>0.95866999999999991</v>
      </c>
      <c r="E8" s="100" t="s">
        <v>51</v>
      </c>
    </row>
    <row r="9" spans="1:20" s="16" customFormat="1" ht="14.5" outlineLevel="2" x14ac:dyDescent="0.25">
      <c r="A9" s="104" t="s">
        <v>57</v>
      </c>
      <c r="B9" s="105">
        <f>SUM(B$10:B$11)</f>
        <v>44.319135028529999</v>
      </c>
      <c r="C9" s="105">
        <f>SUM(C$10:C$11)</f>
        <v>1863.1321174541802</v>
      </c>
      <c r="D9" s="106">
        <f>SUM(D$10:D$11)</f>
        <v>0.26688799999999996</v>
      </c>
      <c r="E9" s="101" t="s">
        <v>200</v>
      </c>
    </row>
    <row r="10" spans="1:20" s="37" customFormat="1" ht="14" outlineLevel="3" x14ac:dyDescent="0.25">
      <c r="A10" s="207" t="s">
        <v>58</v>
      </c>
      <c r="B10" s="208">
        <v>44.284529596719999</v>
      </c>
      <c r="C10" s="208">
        <v>1861.6773397064001</v>
      </c>
      <c r="D10" s="209">
        <v>0.26667999999999997</v>
      </c>
      <c r="E10" s="102" t="s">
        <v>53</v>
      </c>
    </row>
    <row r="11" spans="1:20" ht="14" outlineLevel="3" x14ac:dyDescent="0.3">
      <c r="A11" s="213" t="s">
        <v>93</v>
      </c>
      <c r="B11" s="214">
        <v>3.4605431809999997E-2</v>
      </c>
      <c r="C11" s="214">
        <v>1.4547777477799999</v>
      </c>
      <c r="D11" s="215">
        <v>2.0799999999999999E-4</v>
      </c>
      <c r="E11" s="25"/>
      <c r="F11" s="25"/>
      <c r="G11" s="25"/>
      <c r="H11" s="25"/>
      <c r="I11" s="25"/>
      <c r="J11" s="25"/>
      <c r="K11" s="25"/>
      <c r="L11" s="25"/>
      <c r="M11" s="25"/>
      <c r="N11" s="25"/>
      <c r="O11" s="25"/>
      <c r="P11" s="25"/>
      <c r="Q11" s="25"/>
      <c r="R11" s="25"/>
    </row>
    <row r="12" spans="1:20" ht="14.5" outlineLevel="2" x14ac:dyDescent="0.35">
      <c r="A12" s="216" t="s">
        <v>95</v>
      </c>
      <c r="B12" s="202">
        <f>SUM(B$13:B$19)</f>
        <v>114.87644301746001</v>
      </c>
      <c r="C12" s="202">
        <f>SUM(C$13:C$19)</f>
        <v>4829.2907880136008</v>
      </c>
      <c r="D12" s="203">
        <f>SUM(D$13:D$19)</f>
        <v>0.69178200000000001</v>
      </c>
      <c r="E12" s="25"/>
      <c r="F12" s="25"/>
      <c r="G12" s="25"/>
      <c r="H12" s="25"/>
      <c r="I12" s="25"/>
      <c r="J12" s="25"/>
      <c r="K12" s="25"/>
      <c r="L12" s="25"/>
      <c r="M12" s="25"/>
      <c r="N12" s="25"/>
      <c r="O12" s="25"/>
      <c r="P12" s="25"/>
      <c r="Q12" s="25"/>
      <c r="R12" s="25"/>
    </row>
    <row r="13" spans="1:20" ht="14" outlineLevel="3" x14ac:dyDescent="0.35">
      <c r="A13" s="217" t="s">
        <v>96</v>
      </c>
      <c r="B13" s="211">
        <v>82.827489272820003</v>
      </c>
      <c r="C13" s="211">
        <v>3481.9848215421298</v>
      </c>
      <c r="D13" s="212">
        <v>0.49878499999999998</v>
      </c>
      <c r="E13" s="25"/>
      <c r="F13" s="25"/>
      <c r="G13" s="25"/>
      <c r="H13" s="25"/>
      <c r="I13" s="25"/>
      <c r="J13" s="25"/>
      <c r="K13" s="25"/>
      <c r="L13" s="25"/>
      <c r="M13" s="25"/>
      <c r="N13" s="25"/>
      <c r="O13" s="25"/>
      <c r="P13" s="25"/>
      <c r="Q13" s="25"/>
      <c r="R13" s="25"/>
    </row>
    <row r="14" spans="1:20" ht="42" outlineLevel="3" x14ac:dyDescent="0.35">
      <c r="A14" s="217" t="s">
        <v>106</v>
      </c>
      <c r="B14" s="211">
        <v>7.62917773734</v>
      </c>
      <c r="C14" s="211">
        <v>320.72300290085002</v>
      </c>
      <c r="D14" s="212">
        <v>4.5942999999999998E-2</v>
      </c>
      <c r="E14" s="25"/>
      <c r="F14" s="25"/>
      <c r="G14" s="25"/>
      <c r="H14" s="25"/>
      <c r="I14" s="25"/>
      <c r="J14" s="25"/>
      <c r="K14" s="25"/>
      <c r="L14" s="25"/>
      <c r="M14" s="25"/>
      <c r="N14" s="25"/>
      <c r="O14" s="25"/>
      <c r="P14" s="25"/>
      <c r="Q14" s="25"/>
      <c r="R14" s="25"/>
    </row>
    <row r="15" spans="1:20" ht="28" outlineLevel="3" x14ac:dyDescent="0.35">
      <c r="A15" s="217" t="s">
        <v>117</v>
      </c>
      <c r="B15" s="211">
        <v>0.60585586000000002</v>
      </c>
      <c r="C15" s="211">
        <v>25.469574498539998</v>
      </c>
      <c r="D15" s="212">
        <v>3.6480000000000002E-3</v>
      </c>
      <c r="E15" s="25"/>
      <c r="F15" s="25"/>
      <c r="G15" s="25"/>
      <c r="H15" s="25"/>
      <c r="I15" s="25"/>
      <c r="J15" s="25"/>
      <c r="K15" s="25"/>
      <c r="L15" s="25"/>
      <c r="M15" s="25"/>
      <c r="N15" s="25"/>
      <c r="O15" s="25"/>
      <c r="P15" s="25"/>
      <c r="Q15" s="25"/>
      <c r="R15" s="25"/>
    </row>
    <row r="16" spans="1:20" ht="28" outlineLevel="3" x14ac:dyDescent="0.35">
      <c r="A16" s="217" t="s">
        <v>119</v>
      </c>
      <c r="B16" s="211">
        <v>1.4786194744200001</v>
      </c>
      <c r="C16" s="211">
        <v>62.159684084680002</v>
      </c>
      <c r="D16" s="212">
        <v>8.9040000000000005E-3</v>
      </c>
      <c r="E16" s="25"/>
      <c r="F16" s="25"/>
      <c r="G16" s="25"/>
      <c r="H16" s="25"/>
      <c r="I16" s="25"/>
      <c r="J16" s="25"/>
      <c r="K16" s="25"/>
      <c r="L16" s="25"/>
      <c r="M16" s="25"/>
      <c r="N16" s="25"/>
      <c r="O16" s="25"/>
      <c r="P16" s="25"/>
      <c r="Q16" s="25"/>
      <c r="R16" s="25"/>
    </row>
    <row r="17" spans="1:18" ht="28" outlineLevel="3" x14ac:dyDescent="0.35">
      <c r="A17" s="217" t="s">
        <v>126</v>
      </c>
      <c r="B17" s="211">
        <v>15.219165084</v>
      </c>
      <c r="C17" s="211">
        <v>639.79848096628996</v>
      </c>
      <c r="D17" s="212">
        <v>9.1648999999999994E-2</v>
      </c>
      <c r="E17" s="25"/>
      <c r="F17" s="25"/>
      <c r="G17" s="25"/>
      <c r="H17" s="25"/>
      <c r="I17" s="25"/>
      <c r="J17" s="25"/>
      <c r="K17" s="25"/>
      <c r="L17" s="25"/>
      <c r="M17" s="25"/>
      <c r="N17" s="25"/>
      <c r="O17" s="25"/>
      <c r="P17" s="25"/>
      <c r="Q17" s="25"/>
      <c r="R17" s="25"/>
    </row>
    <row r="18" spans="1:18" ht="28" outlineLevel="3" x14ac:dyDescent="0.35">
      <c r="A18" s="217" t="s">
        <v>135</v>
      </c>
      <c r="B18" s="211">
        <v>3</v>
      </c>
      <c r="C18" s="211">
        <v>126.117</v>
      </c>
      <c r="D18" s="212">
        <v>1.8065999999999999E-2</v>
      </c>
      <c r="E18" s="25"/>
      <c r="F18" s="25"/>
      <c r="G18" s="25"/>
      <c r="H18" s="25"/>
      <c r="I18" s="25"/>
      <c r="J18" s="25"/>
      <c r="K18" s="25"/>
      <c r="L18" s="25"/>
      <c r="M18" s="25"/>
      <c r="N18" s="25"/>
      <c r="O18" s="25"/>
      <c r="P18" s="25"/>
      <c r="Q18" s="25"/>
      <c r="R18" s="25"/>
    </row>
    <row r="19" spans="1:18" ht="14" outlineLevel="3" x14ac:dyDescent="0.35">
      <c r="A19" s="217" t="s">
        <v>137</v>
      </c>
      <c r="B19" s="211">
        <v>4.1161355888799998</v>
      </c>
      <c r="C19" s="211">
        <v>173.03822402111001</v>
      </c>
      <c r="D19" s="212">
        <v>2.4787E-2</v>
      </c>
      <c r="E19" s="25"/>
      <c r="F19" s="25"/>
      <c r="G19" s="25"/>
      <c r="H19" s="25"/>
      <c r="I19" s="25"/>
      <c r="J19" s="25"/>
      <c r="K19" s="25"/>
      <c r="L19" s="25"/>
      <c r="M19" s="25"/>
      <c r="N19" s="25"/>
      <c r="O19" s="25"/>
      <c r="P19" s="25"/>
      <c r="Q19" s="25"/>
      <c r="R19" s="25"/>
    </row>
    <row r="20" spans="1:18" ht="14.5" outlineLevel="1" x14ac:dyDescent="0.35">
      <c r="A20" s="218" t="s">
        <v>2</v>
      </c>
      <c r="B20" s="205">
        <f>B$21+B$25</f>
        <v>6.8629393971300008</v>
      </c>
      <c r="C20" s="205">
        <f>C$21+C$25</f>
        <v>288.51110931761002</v>
      </c>
      <c r="D20" s="206">
        <f>D$21+D$25</f>
        <v>4.1328999999999998E-2</v>
      </c>
      <c r="E20" s="25"/>
      <c r="F20" s="25"/>
      <c r="G20" s="25"/>
      <c r="H20" s="25"/>
      <c r="I20" s="25"/>
      <c r="J20" s="25"/>
      <c r="K20" s="25"/>
      <c r="L20" s="25"/>
      <c r="M20" s="25"/>
      <c r="N20" s="25"/>
      <c r="O20" s="25"/>
      <c r="P20" s="25"/>
      <c r="Q20" s="25"/>
      <c r="R20" s="25"/>
    </row>
    <row r="21" spans="1:18" ht="14.5" outlineLevel="2" x14ac:dyDescent="0.35">
      <c r="A21" s="216" t="s">
        <v>57</v>
      </c>
      <c r="B21" s="202">
        <f>SUM(B$22:B$24)</f>
        <v>1.64983619755</v>
      </c>
      <c r="C21" s="202">
        <f>SUM(C$22:C$24)</f>
        <v>69.357463909260005</v>
      </c>
      <c r="D21" s="203">
        <f>SUM(D$22:D$24)</f>
        <v>9.9349999999999994E-3</v>
      </c>
      <c r="E21" s="25"/>
      <c r="F21" s="25"/>
      <c r="G21" s="25"/>
      <c r="H21" s="25"/>
      <c r="I21" s="25"/>
      <c r="J21" s="25"/>
      <c r="K21" s="25"/>
      <c r="L21" s="25"/>
      <c r="M21" s="25"/>
      <c r="N21" s="25"/>
      <c r="O21" s="25"/>
      <c r="P21" s="25"/>
      <c r="Q21" s="25"/>
      <c r="R21" s="25"/>
    </row>
    <row r="22" spans="1:18" ht="14" outlineLevel="3" x14ac:dyDescent="0.35">
      <c r="A22" s="217" t="s">
        <v>58</v>
      </c>
      <c r="B22" s="211">
        <v>0.10644904969000001</v>
      </c>
      <c r="C22" s="211">
        <v>4.4750116000000002</v>
      </c>
      <c r="D22" s="212">
        <v>6.4099999999999997E-4</v>
      </c>
      <c r="E22" s="25"/>
      <c r="F22" s="25"/>
      <c r="G22" s="25"/>
      <c r="H22" s="25"/>
      <c r="I22" s="25"/>
      <c r="J22" s="25"/>
      <c r="K22" s="25"/>
      <c r="L22" s="25"/>
      <c r="M22" s="25"/>
      <c r="N22" s="25"/>
      <c r="O22" s="25"/>
      <c r="P22" s="25"/>
      <c r="Q22" s="25"/>
      <c r="R22" s="25"/>
    </row>
    <row r="23" spans="1:18" ht="14" outlineLevel="3" x14ac:dyDescent="0.35">
      <c r="A23" s="217" t="s">
        <v>93</v>
      </c>
      <c r="B23" s="211">
        <v>1.5433644391800001</v>
      </c>
      <c r="C23" s="211">
        <v>64.881497659260006</v>
      </c>
      <c r="D23" s="212">
        <v>9.2940000000000002E-3</v>
      </c>
      <c r="E23" s="25"/>
      <c r="F23" s="25"/>
      <c r="G23" s="25"/>
      <c r="H23" s="25"/>
      <c r="I23" s="25"/>
      <c r="J23" s="25"/>
      <c r="K23" s="25"/>
      <c r="L23" s="25"/>
      <c r="M23" s="25"/>
      <c r="N23" s="25"/>
      <c r="O23" s="25"/>
      <c r="P23" s="25"/>
      <c r="Q23" s="25"/>
      <c r="R23" s="25"/>
    </row>
    <row r="24" spans="1:18" ht="14" outlineLevel="3" x14ac:dyDescent="0.35">
      <c r="A24" s="217" t="s">
        <v>154</v>
      </c>
      <c r="B24" s="211">
        <v>2.270868E-5</v>
      </c>
      <c r="C24" s="211">
        <v>9.5465000000000003E-4</v>
      </c>
      <c r="D24" s="212">
        <v>0</v>
      </c>
      <c r="E24" s="25"/>
      <c r="F24" s="25"/>
      <c r="G24" s="25"/>
      <c r="H24" s="25"/>
      <c r="I24" s="25"/>
      <c r="J24" s="25"/>
      <c r="K24" s="25"/>
      <c r="L24" s="25"/>
      <c r="M24" s="25"/>
      <c r="N24" s="25"/>
      <c r="O24" s="25"/>
      <c r="P24" s="25"/>
      <c r="Q24" s="25"/>
      <c r="R24" s="25"/>
    </row>
    <row r="25" spans="1:18" ht="14.5" outlineLevel="2" x14ac:dyDescent="0.35">
      <c r="A25" s="216" t="s">
        <v>95</v>
      </c>
      <c r="B25" s="202">
        <f>SUM(B$26:B$30)</f>
        <v>5.2131031995800008</v>
      </c>
      <c r="C25" s="202">
        <f>SUM(C$26:C$30)</f>
        <v>219.15364540835003</v>
      </c>
      <c r="D25" s="203">
        <f>SUM(D$26:D$30)</f>
        <v>3.1393999999999998E-2</v>
      </c>
      <c r="E25" s="25"/>
      <c r="F25" s="25"/>
      <c r="G25" s="25"/>
      <c r="H25" s="25"/>
      <c r="I25" s="25"/>
      <c r="J25" s="25"/>
      <c r="K25" s="25"/>
      <c r="L25" s="25"/>
      <c r="M25" s="25"/>
      <c r="N25" s="25"/>
      <c r="O25" s="25"/>
      <c r="P25" s="25"/>
      <c r="Q25" s="25"/>
      <c r="R25" s="25"/>
    </row>
    <row r="26" spans="1:18" ht="14" outlineLevel="3" x14ac:dyDescent="0.35">
      <c r="A26" s="217" t="s">
        <v>96</v>
      </c>
      <c r="B26" s="211">
        <v>3.2418873770999999</v>
      </c>
      <c r="C26" s="211">
        <v>136.28570344676001</v>
      </c>
      <c r="D26" s="212">
        <v>1.9522999999999999E-2</v>
      </c>
      <c r="E26" s="25"/>
      <c r="F26" s="25"/>
      <c r="G26" s="25"/>
      <c r="H26" s="25"/>
      <c r="I26" s="25"/>
      <c r="J26" s="25"/>
      <c r="K26" s="25"/>
      <c r="L26" s="25"/>
      <c r="M26" s="25"/>
      <c r="N26" s="25"/>
      <c r="O26" s="25"/>
      <c r="P26" s="25"/>
      <c r="Q26" s="25"/>
      <c r="R26" s="25"/>
    </row>
    <row r="27" spans="1:18" ht="14" outlineLevel="3" x14ac:dyDescent="0.35">
      <c r="A27" s="217" t="s">
        <v>157</v>
      </c>
      <c r="B27" s="211">
        <v>0.85779034641999996</v>
      </c>
      <c r="C27" s="211">
        <v>36.060648373310002</v>
      </c>
      <c r="D27" s="212">
        <v>5.1659999999999996E-3</v>
      </c>
      <c r="E27" s="25"/>
      <c r="F27" s="25"/>
      <c r="G27" s="25"/>
      <c r="H27" s="25"/>
      <c r="I27" s="25"/>
      <c r="J27" s="25"/>
      <c r="K27" s="25"/>
      <c r="L27" s="25"/>
      <c r="M27" s="25"/>
      <c r="N27" s="25"/>
      <c r="O27" s="25"/>
      <c r="P27" s="25"/>
      <c r="Q27" s="25"/>
      <c r="R27" s="25"/>
    </row>
    <row r="28" spans="1:18" ht="28" outlineLevel="3" x14ac:dyDescent="0.35">
      <c r="A28" s="217" t="s">
        <v>119</v>
      </c>
      <c r="B28" s="211">
        <v>0.18221230804999999</v>
      </c>
      <c r="C28" s="211">
        <v>7.6600232181100001</v>
      </c>
      <c r="D28" s="212">
        <v>1.0970000000000001E-3</v>
      </c>
      <c r="E28" s="25"/>
      <c r="F28" s="25"/>
      <c r="G28" s="25"/>
      <c r="H28" s="25"/>
      <c r="I28" s="25"/>
      <c r="J28" s="25"/>
      <c r="K28" s="25"/>
      <c r="L28" s="25"/>
      <c r="M28" s="25"/>
      <c r="N28" s="25"/>
      <c r="O28" s="25"/>
      <c r="P28" s="25"/>
      <c r="Q28" s="25"/>
      <c r="R28" s="25"/>
    </row>
    <row r="29" spans="1:18" ht="14" outlineLevel="3" x14ac:dyDescent="0.35">
      <c r="A29" s="217" t="s">
        <v>163</v>
      </c>
      <c r="B29" s="211">
        <v>0.82499999999999996</v>
      </c>
      <c r="C29" s="211">
        <v>34.682175000000001</v>
      </c>
      <c r="D29" s="212">
        <v>4.9680000000000002E-3</v>
      </c>
      <c r="E29" s="25"/>
      <c r="F29" s="25"/>
      <c r="G29" s="25"/>
      <c r="H29" s="25"/>
      <c r="I29" s="25"/>
      <c r="J29" s="25"/>
      <c r="K29" s="25"/>
      <c r="L29" s="25"/>
      <c r="M29" s="25"/>
      <c r="N29" s="25"/>
      <c r="O29" s="25"/>
      <c r="P29" s="25"/>
      <c r="Q29" s="25"/>
      <c r="R29" s="25"/>
    </row>
    <row r="30" spans="1:18" ht="14" outlineLevel="3" x14ac:dyDescent="0.35">
      <c r="A30" s="217" t="s">
        <v>137</v>
      </c>
      <c r="B30" s="211">
        <v>0.10621316801</v>
      </c>
      <c r="C30" s="211">
        <v>4.4650953701700002</v>
      </c>
      <c r="D30" s="212">
        <v>6.4000000000000005E-4</v>
      </c>
      <c r="E30" s="25"/>
      <c r="F30" s="25"/>
      <c r="G30" s="25"/>
      <c r="H30" s="25"/>
      <c r="I30" s="25"/>
      <c r="J30" s="25"/>
      <c r="K30" s="25"/>
      <c r="L30" s="25"/>
      <c r="M30" s="25"/>
      <c r="N30" s="25"/>
      <c r="O30" s="25"/>
      <c r="P30" s="25"/>
      <c r="Q30" s="25"/>
      <c r="R30" s="25"/>
    </row>
    <row r="31" spans="1:18" x14ac:dyDescent="0.3">
      <c r="B31" s="24"/>
      <c r="C31" s="24"/>
      <c r="D31" s="62"/>
      <c r="E31" s="25"/>
      <c r="F31" s="25"/>
      <c r="G31" s="25"/>
      <c r="H31" s="25"/>
      <c r="I31" s="25"/>
      <c r="J31" s="25"/>
      <c r="K31" s="25"/>
      <c r="L31" s="25"/>
      <c r="M31" s="25"/>
      <c r="N31" s="25"/>
      <c r="O31" s="25"/>
      <c r="P31" s="25"/>
      <c r="Q31" s="25"/>
      <c r="R31" s="25"/>
    </row>
    <row r="32" spans="1: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31.12.2024</v>
      </c>
      <c r="B2" s="280"/>
      <c r="C2" s="280"/>
      <c r="D2" s="280"/>
      <c r="E2" s="25"/>
      <c r="F2" s="25"/>
      <c r="G2" s="25"/>
      <c r="H2" s="25"/>
      <c r="I2" s="25"/>
      <c r="J2" s="25"/>
      <c r="K2" s="25"/>
      <c r="L2" s="25"/>
      <c r="M2" s="25"/>
      <c r="N2" s="25"/>
      <c r="O2" s="25"/>
      <c r="P2" s="25"/>
      <c r="Q2" s="25"/>
      <c r="R2" s="25"/>
      <c r="S2" s="25"/>
    </row>
    <row r="3" spans="1:19" ht="18.5" x14ac:dyDescent="0.45">
      <c r="A3" s="282" t="str">
        <f>IF(REPORT_LANG="UKR","(за ознакою умовності)","based on characteristic of conventionality")</f>
        <v>(за ознакою умовності)</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08"/>
      <c r="B6" s="142" t="s">
        <v>190</v>
      </c>
      <c r="C6" s="142" t="s">
        <v>191</v>
      </c>
      <c r="D6" s="109" t="s">
        <v>0</v>
      </c>
    </row>
    <row r="7" spans="1:19" s="14" customFormat="1" ht="15.5" x14ac:dyDescent="0.25">
      <c r="A7" s="144" t="str">
        <f>DEBT_TOTAL</f>
        <v>Загальна сума державного та гарантованого державою боргу</v>
      </c>
      <c r="B7" s="83">
        <f>B$81+B$8</f>
        <v>166.05851744312002</v>
      </c>
      <c r="C7" s="83">
        <f>C$81+C$8</f>
        <v>6980.9340147853909</v>
      </c>
      <c r="D7" s="84">
        <f>D$81+D$8</f>
        <v>0.99999600000000033</v>
      </c>
    </row>
    <row r="8" spans="1:19" s="15" customFormat="1" ht="14.5" outlineLevel="1" x14ac:dyDescent="0.25">
      <c r="A8" s="189" t="s">
        <v>1</v>
      </c>
      <c r="B8" s="190">
        <f>B$9+B$44</f>
        <v>159.19557804599003</v>
      </c>
      <c r="C8" s="190">
        <f>C$9+C$44</f>
        <v>6692.4229054677808</v>
      </c>
      <c r="D8" s="191">
        <f>D$9+D$44</f>
        <v>0.95867000000000036</v>
      </c>
    </row>
    <row r="9" spans="1:19" s="16" customFormat="1" ht="14.5" outlineLevel="2" x14ac:dyDescent="0.25">
      <c r="A9" s="104" t="s">
        <v>57</v>
      </c>
      <c r="B9" s="105">
        <f>B$10+B$42</f>
        <v>44.319135028530013</v>
      </c>
      <c r="C9" s="105">
        <f>C$10+C$42</f>
        <v>1863.132117454179</v>
      </c>
      <c r="D9" s="106">
        <f>D$10+D$42</f>
        <v>0.26688800000000018</v>
      </c>
    </row>
    <row r="10" spans="1:19" s="17" customFormat="1" ht="14" outlineLevel="3" x14ac:dyDescent="0.25">
      <c r="A10" s="192" t="s">
        <v>58</v>
      </c>
      <c r="B10" s="193">
        <f>SUM(B$11:B$41)</f>
        <v>44.284529596720013</v>
      </c>
      <c r="C10" s="193">
        <f>SUM(C$11:C$41)</f>
        <v>1861.6773397063989</v>
      </c>
      <c r="D10" s="194">
        <f>SUM(D$11:D$41)</f>
        <v>0.26668000000000019</v>
      </c>
    </row>
    <row r="11" spans="1:19" outlineLevel="4" x14ac:dyDescent="0.3">
      <c r="A11" s="195" t="s">
        <v>59</v>
      </c>
      <c r="B11" s="196">
        <v>1.39466778468</v>
      </c>
      <c r="C11" s="196">
        <v>58.630439000000003</v>
      </c>
      <c r="D11" s="107">
        <v>8.3990000000000002E-3</v>
      </c>
      <c r="E11" s="25"/>
      <c r="F11" s="25"/>
      <c r="G11" s="25"/>
      <c r="H11" s="25"/>
      <c r="I11" s="25"/>
      <c r="J11" s="25"/>
      <c r="K11" s="25"/>
      <c r="L11" s="25"/>
      <c r="M11" s="25"/>
      <c r="N11" s="25"/>
      <c r="O11" s="25"/>
      <c r="P11" s="25"/>
      <c r="Q11" s="25"/>
    </row>
    <row r="12" spans="1:19" outlineLevel="4" x14ac:dyDescent="0.3">
      <c r="A12" s="174" t="s">
        <v>60</v>
      </c>
      <c r="B12" s="175">
        <v>0.41706510620999998</v>
      </c>
      <c r="C12" s="175">
        <v>17.533000000000001</v>
      </c>
      <c r="D12" s="197">
        <v>2.5119999999999999E-3</v>
      </c>
      <c r="E12" s="25"/>
      <c r="F12" s="25"/>
      <c r="G12" s="25"/>
      <c r="H12" s="25"/>
      <c r="I12" s="25"/>
      <c r="J12" s="25"/>
      <c r="K12" s="25"/>
      <c r="L12" s="25"/>
      <c r="M12" s="25"/>
      <c r="N12" s="25"/>
      <c r="O12" s="25"/>
      <c r="P12" s="25"/>
      <c r="Q12" s="25"/>
    </row>
    <row r="13" spans="1:19" outlineLevel="4" x14ac:dyDescent="0.3">
      <c r="A13" s="174" t="s">
        <v>61</v>
      </c>
      <c r="B13" s="175">
        <v>9.0706825079999998E-2</v>
      </c>
      <c r="C13" s="175">
        <v>3.8132242193999999</v>
      </c>
      <c r="D13" s="197">
        <v>5.4600000000000004E-4</v>
      </c>
      <c r="E13" s="25"/>
      <c r="F13" s="25"/>
      <c r="G13" s="25"/>
      <c r="H13" s="25"/>
      <c r="I13" s="25"/>
      <c r="J13" s="25"/>
      <c r="K13" s="25"/>
      <c r="L13" s="25"/>
      <c r="M13" s="25"/>
      <c r="N13" s="25"/>
      <c r="O13" s="25"/>
      <c r="P13" s="25"/>
      <c r="Q13" s="25"/>
    </row>
    <row r="14" spans="1:19" outlineLevel="4" x14ac:dyDescent="0.3">
      <c r="A14" s="174" t="s">
        <v>62</v>
      </c>
      <c r="B14" s="175">
        <v>1.18937177385</v>
      </c>
      <c r="C14" s="175">
        <v>50</v>
      </c>
      <c r="D14" s="197">
        <v>7.162E-3</v>
      </c>
      <c r="E14" s="25"/>
      <c r="F14" s="25"/>
      <c r="G14" s="25"/>
      <c r="H14" s="25"/>
      <c r="I14" s="25"/>
      <c r="J14" s="25"/>
      <c r="K14" s="25"/>
      <c r="L14" s="25"/>
      <c r="M14" s="25"/>
      <c r="N14" s="25"/>
      <c r="O14" s="25"/>
      <c r="P14" s="25"/>
      <c r="Q14" s="25"/>
    </row>
    <row r="15" spans="1:19" outlineLevel="4" x14ac:dyDescent="0.3">
      <c r="A15" s="174" t="s">
        <v>63</v>
      </c>
      <c r="B15" s="175">
        <v>0.80163659936999998</v>
      </c>
      <c r="C15" s="175">
        <v>33.700001</v>
      </c>
      <c r="D15" s="197">
        <v>4.8269999999999997E-3</v>
      </c>
      <c r="E15" s="25"/>
      <c r="F15" s="25"/>
      <c r="G15" s="25"/>
      <c r="H15" s="25"/>
      <c r="I15" s="25"/>
      <c r="J15" s="25"/>
      <c r="K15" s="25"/>
      <c r="L15" s="25"/>
      <c r="M15" s="25"/>
      <c r="N15" s="25"/>
      <c r="O15" s="25"/>
      <c r="P15" s="25"/>
      <c r="Q15" s="25"/>
    </row>
    <row r="16" spans="1:19" outlineLevel="4" x14ac:dyDescent="0.3">
      <c r="A16" s="174" t="s">
        <v>64</v>
      </c>
      <c r="B16" s="175">
        <v>1.1156307239000001</v>
      </c>
      <c r="C16" s="175">
        <v>46.9</v>
      </c>
      <c r="D16" s="197">
        <v>6.718E-3</v>
      </c>
      <c r="E16" s="25"/>
      <c r="F16" s="25"/>
      <c r="G16" s="25"/>
      <c r="H16" s="25"/>
      <c r="I16" s="25"/>
      <c r="J16" s="25"/>
      <c r="K16" s="25"/>
      <c r="L16" s="25"/>
      <c r="M16" s="25"/>
      <c r="N16" s="25"/>
      <c r="O16" s="25"/>
      <c r="P16" s="25"/>
      <c r="Q16" s="25"/>
    </row>
    <row r="17" spans="1:17" outlineLevel="4" x14ac:dyDescent="0.3">
      <c r="A17" s="174" t="s">
        <v>65</v>
      </c>
      <c r="B17" s="175">
        <v>5.3641408454299997</v>
      </c>
      <c r="C17" s="175">
        <v>225.503117</v>
      </c>
      <c r="D17" s="197">
        <v>3.2302999999999998E-2</v>
      </c>
      <c r="E17" s="25"/>
      <c r="F17" s="25"/>
      <c r="G17" s="25"/>
      <c r="H17" s="25"/>
      <c r="I17" s="25"/>
      <c r="J17" s="25"/>
      <c r="K17" s="25"/>
      <c r="L17" s="25"/>
      <c r="M17" s="25"/>
      <c r="N17" s="25"/>
      <c r="O17" s="25"/>
      <c r="P17" s="25"/>
      <c r="Q17" s="25"/>
    </row>
    <row r="18" spans="1:17" outlineLevel="4" x14ac:dyDescent="0.3">
      <c r="A18" s="174" t="s">
        <v>66</v>
      </c>
      <c r="B18" s="175">
        <v>0.28777430481999999</v>
      </c>
      <c r="C18" s="175">
        <v>12.097744</v>
      </c>
      <c r="D18" s="197">
        <v>1.7329999999999999E-3</v>
      </c>
      <c r="E18" s="25"/>
      <c r="F18" s="25"/>
      <c r="G18" s="25"/>
      <c r="H18" s="25"/>
      <c r="I18" s="25"/>
      <c r="J18" s="25"/>
      <c r="K18" s="25"/>
      <c r="L18" s="25"/>
      <c r="M18" s="25"/>
      <c r="N18" s="25"/>
      <c r="O18" s="25"/>
      <c r="P18" s="25"/>
      <c r="Q18" s="25"/>
    </row>
    <row r="19" spans="1:17" outlineLevel="4" x14ac:dyDescent="0.3">
      <c r="A19" s="174" t="s">
        <v>67</v>
      </c>
      <c r="B19" s="175">
        <v>0.64458583697000005</v>
      </c>
      <c r="C19" s="175">
        <v>27.097743999999999</v>
      </c>
      <c r="D19" s="197">
        <v>3.882E-3</v>
      </c>
      <c r="E19" s="25"/>
      <c r="F19" s="25"/>
      <c r="G19" s="25"/>
      <c r="H19" s="25"/>
      <c r="I19" s="25"/>
      <c r="J19" s="25"/>
      <c r="K19" s="25"/>
      <c r="L19" s="25"/>
      <c r="M19" s="25"/>
      <c r="N19" s="25"/>
      <c r="O19" s="25"/>
      <c r="P19" s="25"/>
      <c r="Q19" s="25"/>
    </row>
    <row r="20" spans="1:17" outlineLevel="4" x14ac:dyDescent="0.3">
      <c r="A20" s="174" t="s">
        <v>68</v>
      </c>
      <c r="B20" s="175">
        <v>6.77509038007</v>
      </c>
      <c r="C20" s="175">
        <v>284.818024487</v>
      </c>
      <c r="D20" s="197">
        <v>4.0799000000000002E-2</v>
      </c>
      <c r="E20" s="25"/>
      <c r="F20" s="25"/>
      <c r="G20" s="25"/>
      <c r="H20" s="25"/>
      <c r="I20" s="25"/>
      <c r="J20" s="25"/>
      <c r="K20" s="25"/>
      <c r="L20" s="25"/>
      <c r="M20" s="25"/>
      <c r="N20" s="25"/>
      <c r="O20" s="25"/>
      <c r="P20" s="25"/>
      <c r="Q20" s="25"/>
    </row>
    <row r="21" spans="1:17" outlineLevel="4" x14ac:dyDescent="0.3">
      <c r="A21" s="174" t="s">
        <v>69</v>
      </c>
      <c r="B21" s="175">
        <v>0.28777430481999999</v>
      </c>
      <c r="C21" s="175">
        <v>12.097744</v>
      </c>
      <c r="D21" s="197">
        <v>1.7329999999999999E-3</v>
      </c>
      <c r="E21" s="25"/>
      <c r="F21" s="25"/>
      <c r="G21" s="25"/>
      <c r="H21" s="25"/>
      <c r="I21" s="25"/>
      <c r="J21" s="25"/>
      <c r="K21" s="25"/>
      <c r="L21" s="25"/>
      <c r="M21" s="25"/>
      <c r="N21" s="25"/>
      <c r="O21" s="25"/>
      <c r="P21" s="25"/>
      <c r="Q21" s="25"/>
    </row>
    <row r="22" spans="1:17" outlineLevel="4" x14ac:dyDescent="0.3">
      <c r="A22" s="174" t="s">
        <v>70</v>
      </c>
      <c r="B22" s="175">
        <v>0.28777430481999999</v>
      </c>
      <c r="C22" s="175">
        <v>12.097744</v>
      </c>
      <c r="D22" s="197">
        <v>1.7329999999999999E-3</v>
      </c>
      <c r="E22" s="25"/>
      <c r="F22" s="25"/>
      <c r="G22" s="25"/>
      <c r="H22" s="25"/>
      <c r="I22" s="25"/>
      <c r="J22" s="25"/>
      <c r="K22" s="25"/>
      <c r="L22" s="25"/>
      <c r="M22" s="25"/>
      <c r="N22" s="25"/>
      <c r="O22" s="25"/>
      <c r="P22" s="25"/>
      <c r="Q22" s="25"/>
    </row>
    <row r="23" spans="1:17" outlineLevel="4" x14ac:dyDescent="0.3">
      <c r="A23" s="174" t="s">
        <v>71</v>
      </c>
      <c r="B23" s="175">
        <v>6.7944584315099998</v>
      </c>
      <c r="C23" s="175">
        <v>285.63223799999997</v>
      </c>
      <c r="D23" s="197">
        <v>4.0916000000000001E-2</v>
      </c>
      <c r="E23" s="25"/>
      <c r="F23" s="25"/>
      <c r="G23" s="25"/>
      <c r="H23" s="25"/>
      <c r="I23" s="25"/>
      <c r="J23" s="25"/>
      <c r="K23" s="25"/>
      <c r="L23" s="25"/>
      <c r="M23" s="25"/>
      <c r="N23" s="25"/>
      <c r="O23" s="25"/>
      <c r="P23" s="25"/>
      <c r="Q23" s="25"/>
    </row>
    <row r="24" spans="1:17" outlineLevel="4" x14ac:dyDescent="0.3">
      <c r="A24" s="174" t="s">
        <v>72</v>
      </c>
      <c r="B24" s="175">
        <v>0.28777430481999999</v>
      </c>
      <c r="C24" s="175">
        <v>12.097744</v>
      </c>
      <c r="D24" s="197">
        <v>1.7329999999999999E-3</v>
      </c>
      <c r="E24" s="25"/>
      <c r="F24" s="25"/>
      <c r="G24" s="25"/>
      <c r="H24" s="25"/>
      <c r="I24" s="25"/>
      <c r="J24" s="25"/>
      <c r="K24" s="25"/>
      <c r="L24" s="25"/>
      <c r="M24" s="25"/>
      <c r="N24" s="25"/>
      <c r="O24" s="25"/>
      <c r="P24" s="25"/>
      <c r="Q24" s="25"/>
    </row>
    <row r="25" spans="1:17" outlineLevel="4" x14ac:dyDescent="0.3">
      <c r="A25" s="174" t="s">
        <v>73</v>
      </c>
      <c r="B25" s="175">
        <v>0.28777430481999999</v>
      </c>
      <c r="C25" s="175">
        <v>12.097744</v>
      </c>
      <c r="D25" s="197">
        <v>1.7329999999999999E-3</v>
      </c>
      <c r="E25" s="25"/>
      <c r="F25" s="25"/>
      <c r="G25" s="25"/>
      <c r="H25" s="25"/>
      <c r="I25" s="25"/>
      <c r="J25" s="25"/>
      <c r="K25" s="25"/>
      <c r="L25" s="25"/>
      <c r="M25" s="25"/>
      <c r="N25" s="25"/>
      <c r="O25" s="25"/>
      <c r="P25" s="25"/>
      <c r="Q25" s="25"/>
    </row>
    <row r="26" spans="1:17" outlineLevel="4" x14ac:dyDescent="0.3">
      <c r="A26" s="174" t="s">
        <v>74</v>
      </c>
      <c r="B26" s="175">
        <v>0.28777430481999999</v>
      </c>
      <c r="C26" s="175">
        <v>12.097744</v>
      </c>
      <c r="D26" s="197">
        <v>1.7329999999999999E-3</v>
      </c>
      <c r="E26" s="25"/>
      <c r="F26" s="25"/>
      <c r="G26" s="25"/>
      <c r="H26" s="25"/>
      <c r="I26" s="25"/>
      <c r="J26" s="25"/>
      <c r="K26" s="25"/>
      <c r="L26" s="25"/>
      <c r="M26" s="25"/>
      <c r="N26" s="25"/>
      <c r="O26" s="25"/>
      <c r="P26" s="25"/>
      <c r="Q26" s="25"/>
    </row>
    <row r="27" spans="1:17" outlineLevel="4" x14ac:dyDescent="0.3">
      <c r="A27" s="174" t="s">
        <v>75</v>
      </c>
      <c r="B27" s="175">
        <v>0.28777430481999999</v>
      </c>
      <c r="C27" s="175">
        <v>12.097744</v>
      </c>
      <c r="D27" s="197">
        <v>1.7329999999999999E-3</v>
      </c>
      <c r="E27" s="25"/>
      <c r="F27" s="25"/>
      <c r="G27" s="25"/>
      <c r="H27" s="25"/>
      <c r="I27" s="25"/>
      <c r="J27" s="25"/>
      <c r="K27" s="25"/>
      <c r="L27" s="25"/>
      <c r="M27" s="25"/>
      <c r="N27" s="25"/>
      <c r="O27" s="25"/>
      <c r="P27" s="25"/>
      <c r="Q27" s="25"/>
    </row>
    <row r="28" spans="1:17" outlineLevel="4" x14ac:dyDescent="0.3">
      <c r="A28" s="174" t="s">
        <v>76</v>
      </c>
      <c r="B28" s="175">
        <v>0.28777430481999999</v>
      </c>
      <c r="C28" s="175">
        <v>12.097744</v>
      </c>
      <c r="D28" s="197">
        <v>1.7329999999999999E-3</v>
      </c>
      <c r="E28" s="25"/>
      <c r="F28" s="25"/>
      <c r="G28" s="25"/>
      <c r="H28" s="25"/>
      <c r="I28" s="25"/>
      <c r="J28" s="25"/>
      <c r="K28" s="25"/>
      <c r="L28" s="25"/>
      <c r="M28" s="25"/>
      <c r="N28" s="25"/>
      <c r="O28" s="25"/>
      <c r="P28" s="25"/>
      <c r="Q28" s="25"/>
    </row>
    <row r="29" spans="1:17" outlineLevel="4" x14ac:dyDescent="0.3">
      <c r="A29" s="174" t="s">
        <v>77</v>
      </c>
      <c r="B29" s="175">
        <v>0.28777430481999999</v>
      </c>
      <c r="C29" s="175">
        <v>12.097744</v>
      </c>
      <c r="D29" s="197">
        <v>1.7329999999999999E-3</v>
      </c>
      <c r="E29" s="25"/>
      <c r="F29" s="25"/>
      <c r="G29" s="25"/>
      <c r="H29" s="25"/>
      <c r="I29" s="25"/>
      <c r="J29" s="25"/>
      <c r="K29" s="25"/>
      <c r="L29" s="25"/>
      <c r="M29" s="25"/>
      <c r="N29" s="25"/>
      <c r="O29" s="25"/>
      <c r="P29" s="25"/>
      <c r="Q29" s="25"/>
    </row>
    <row r="30" spans="1:17" outlineLevel="4" x14ac:dyDescent="0.3">
      <c r="A30" s="174" t="s">
        <v>78</v>
      </c>
      <c r="B30" s="175">
        <v>0.28777430481999999</v>
      </c>
      <c r="C30" s="175">
        <v>12.097744</v>
      </c>
      <c r="D30" s="197">
        <v>1.7329999999999999E-3</v>
      </c>
      <c r="E30" s="25"/>
      <c r="F30" s="25"/>
      <c r="G30" s="25"/>
      <c r="H30" s="25"/>
      <c r="I30" s="25"/>
      <c r="J30" s="25"/>
      <c r="K30" s="25"/>
      <c r="L30" s="25"/>
      <c r="M30" s="25"/>
      <c r="N30" s="25"/>
      <c r="O30" s="25"/>
      <c r="P30" s="25"/>
      <c r="Q30" s="25"/>
    </row>
    <row r="31" spans="1:17" outlineLevel="4" x14ac:dyDescent="0.3">
      <c r="A31" s="174" t="s">
        <v>79</v>
      </c>
      <c r="B31" s="175">
        <v>0.28777430481999999</v>
      </c>
      <c r="C31" s="175">
        <v>12.097744</v>
      </c>
      <c r="D31" s="197">
        <v>1.7329999999999999E-3</v>
      </c>
      <c r="E31" s="25"/>
      <c r="F31" s="25"/>
      <c r="G31" s="25"/>
      <c r="H31" s="25"/>
      <c r="I31" s="25"/>
      <c r="J31" s="25"/>
      <c r="K31" s="25"/>
      <c r="L31" s="25"/>
      <c r="M31" s="25"/>
      <c r="N31" s="25"/>
      <c r="O31" s="25"/>
      <c r="P31" s="25"/>
      <c r="Q31" s="25"/>
    </row>
    <row r="32" spans="1:17" outlineLevel="4" x14ac:dyDescent="0.3">
      <c r="A32" s="174" t="s">
        <v>80</v>
      </c>
      <c r="B32" s="175">
        <v>0.28777430481999999</v>
      </c>
      <c r="C32" s="175">
        <v>12.097744</v>
      </c>
      <c r="D32" s="197">
        <v>1.7329999999999999E-3</v>
      </c>
      <c r="E32" s="25"/>
      <c r="F32" s="25"/>
      <c r="G32" s="25"/>
      <c r="H32" s="25"/>
      <c r="I32" s="25"/>
      <c r="J32" s="25"/>
      <c r="K32" s="25"/>
      <c r="L32" s="25"/>
      <c r="M32" s="25"/>
      <c r="N32" s="25"/>
      <c r="O32" s="25"/>
      <c r="P32" s="25"/>
      <c r="Q32" s="25"/>
    </row>
    <row r="33" spans="1:17" outlineLevel="4" x14ac:dyDescent="0.3">
      <c r="A33" s="174" t="s">
        <v>81</v>
      </c>
      <c r="B33" s="175">
        <v>0.28777430481999999</v>
      </c>
      <c r="C33" s="175">
        <v>12.097744</v>
      </c>
      <c r="D33" s="197">
        <v>1.7329999999999999E-3</v>
      </c>
      <c r="E33" s="25"/>
      <c r="F33" s="25"/>
      <c r="G33" s="25"/>
      <c r="H33" s="25"/>
      <c r="I33" s="25"/>
      <c r="J33" s="25"/>
      <c r="K33" s="25"/>
      <c r="L33" s="25"/>
      <c r="M33" s="25"/>
      <c r="N33" s="25"/>
      <c r="O33" s="25"/>
      <c r="P33" s="25"/>
      <c r="Q33" s="25"/>
    </row>
    <row r="34" spans="1:17" outlineLevel="4" x14ac:dyDescent="0.3">
      <c r="A34" s="174" t="s">
        <v>83</v>
      </c>
      <c r="B34" s="175">
        <v>6.7689049215299999</v>
      </c>
      <c r="C34" s="175">
        <v>284.55799400000001</v>
      </c>
      <c r="D34" s="197">
        <v>4.0762E-2</v>
      </c>
      <c r="E34" s="25"/>
      <c r="F34" s="25"/>
      <c r="G34" s="25"/>
      <c r="H34" s="25"/>
      <c r="I34" s="25"/>
      <c r="J34" s="25"/>
      <c r="K34" s="25"/>
      <c r="L34" s="25"/>
      <c r="M34" s="25"/>
      <c r="N34" s="25"/>
      <c r="O34" s="25"/>
      <c r="P34" s="25"/>
      <c r="Q34" s="25"/>
    </row>
    <row r="35" spans="1:17" outlineLevel="4" x14ac:dyDescent="0.3">
      <c r="A35" s="174" t="s">
        <v>84</v>
      </c>
      <c r="B35" s="175">
        <v>6.1156961631</v>
      </c>
      <c r="C35" s="175">
        <v>257.09775100000002</v>
      </c>
      <c r="D35" s="197">
        <v>3.6829000000000001E-2</v>
      </c>
      <c r="E35" s="25"/>
      <c r="F35" s="25"/>
      <c r="G35" s="25"/>
      <c r="H35" s="25"/>
      <c r="I35" s="25"/>
      <c r="J35" s="25"/>
      <c r="K35" s="25"/>
      <c r="L35" s="25"/>
      <c r="M35" s="25"/>
      <c r="N35" s="25"/>
      <c r="O35" s="25"/>
      <c r="P35" s="25"/>
      <c r="Q35" s="25"/>
    </row>
    <row r="36" spans="1:17" outlineLevel="4" x14ac:dyDescent="0.3">
      <c r="A36" s="174" t="s">
        <v>85</v>
      </c>
      <c r="B36" s="175">
        <v>0.38516142152999999</v>
      </c>
      <c r="C36" s="175">
        <v>16.191801000000002</v>
      </c>
      <c r="D36" s="197">
        <v>2.3189999999999999E-3</v>
      </c>
      <c r="E36" s="25"/>
      <c r="F36" s="25"/>
      <c r="G36" s="25"/>
      <c r="H36" s="25"/>
      <c r="I36" s="25"/>
      <c r="J36" s="25"/>
      <c r="K36" s="25"/>
      <c r="L36" s="25"/>
      <c r="M36" s="25"/>
      <c r="N36" s="25"/>
      <c r="O36" s="25"/>
      <c r="P36" s="25"/>
      <c r="Q36" s="25"/>
    </row>
    <row r="37" spans="1:17" outlineLevel="4" x14ac:dyDescent="0.3">
      <c r="A37" s="174" t="s">
        <v>86</v>
      </c>
      <c r="B37" s="175">
        <v>1.09586897881</v>
      </c>
      <c r="C37" s="175">
        <v>46.069235999999997</v>
      </c>
      <c r="D37" s="197">
        <v>6.5989999999999998E-3</v>
      </c>
      <c r="E37" s="25"/>
      <c r="F37" s="25"/>
      <c r="G37" s="25"/>
      <c r="H37" s="25"/>
      <c r="I37" s="25"/>
      <c r="J37" s="25"/>
      <c r="K37" s="25"/>
      <c r="L37" s="25"/>
      <c r="M37" s="25"/>
      <c r="N37" s="25"/>
      <c r="O37" s="25"/>
      <c r="P37" s="25"/>
      <c r="Q37" s="25"/>
    </row>
    <row r="38" spans="1:17" outlineLevel="4" x14ac:dyDescent="0.3">
      <c r="A38" s="174" t="s">
        <v>88</v>
      </c>
      <c r="B38" s="175">
        <v>0.97719753088000005</v>
      </c>
      <c r="C38" s="175">
        <v>41.080407000000001</v>
      </c>
      <c r="D38" s="197">
        <v>5.8849999999999996E-3</v>
      </c>
      <c r="E38" s="25"/>
      <c r="F38" s="25"/>
      <c r="G38" s="25"/>
      <c r="H38" s="25"/>
      <c r="I38" s="25"/>
      <c r="J38" s="25"/>
      <c r="K38" s="25"/>
      <c r="L38" s="25"/>
      <c r="M38" s="25"/>
      <c r="N38" s="25"/>
      <c r="O38" s="25"/>
      <c r="P38" s="25"/>
      <c r="Q38" s="25"/>
    </row>
    <row r="39" spans="1:17" outlineLevel="4" x14ac:dyDescent="0.3">
      <c r="A39" s="174" t="s">
        <v>89</v>
      </c>
      <c r="B39" s="175">
        <v>0.42298082732999998</v>
      </c>
      <c r="C39" s="175">
        <v>17.781690999999999</v>
      </c>
      <c r="D39" s="197">
        <v>2.5469999999999998E-3</v>
      </c>
      <c r="E39" s="25"/>
      <c r="F39" s="25"/>
      <c r="G39" s="25"/>
      <c r="H39" s="25"/>
      <c r="I39" s="25"/>
      <c r="J39" s="25"/>
      <c r="K39" s="25"/>
      <c r="L39" s="25"/>
      <c r="M39" s="25"/>
      <c r="N39" s="25"/>
      <c r="O39" s="25"/>
      <c r="P39" s="25"/>
      <c r="Q39" s="25"/>
    </row>
    <row r="40" spans="1:17" outlineLevel="4" x14ac:dyDescent="0.3">
      <c r="A40" s="174" t="s">
        <v>90</v>
      </c>
      <c r="B40" s="175">
        <v>5.9468588689999997E-2</v>
      </c>
      <c r="C40" s="175">
        <v>2.5</v>
      </c>
      <c r="D40" s="197">
        <v>3.5799999999999997E-4</v>
      </c>
      <c r="E40" s="25"/>
      <c r="F40" s="25"/>
      <c r="G40" s="25"/>
      <c r="H40" s="25"/>
      <c r="I40" s="25"/>
      <c r="J40" s="25"/>
      <c r="K40" s="25"/>
      <c r="L40" s="25"/>
      <c r="M40" s="25"/>
      <c r="N40" s="25"/>
      <c r="O40" s="25"/>
      <c r="P40" s="25"/>
      <c r="Q40" s="25"/>
    </row>
    <row r="41" spans="1:17" outlineLevel="4" x14ac:dyDescent="0.3">
      <c r="A41" s="174" t="s">
        <v>92</v>
      </c>
      <c r="B41" s="175">
        <v>0.13083089512000001</v>
      </c>
      <c r="C41" s="175">
        <v>5.5</v>
      </c>
      <c r="D41" s="197">
        <v>7.8799999999999996E-4</v>
      </c>
      <c r="E41" s="25"/>
      <c r="F41" s="25"/>
      <c r="G41" s="25"/>
      <c r="H41" s="25"/>
      <c r="I41" s="25"/>
      <c r="J41" s="25"/>
      <c r="K41" s="25"/>
      <c r="L41" s="25"/>
      <c r="M41" s="25"/>
      <c r="N41" s="25"/>
      <c r="O41" s="25"/>
      <c r="P41" s="25"/>
      <c r="Q41" s="25"/>
    </row>
    <row r="42" spans="1:17" ht="14" outlineLevel="3" x14ac:dyDescent="0.35">
      <c r="A42" s="198" t="s">
        <v>93</v>
      </c>
      <c r="B42" s="199">
        <f>SUM(B$43:B$43)</f>
        <v>3.4605431809999997E-2</v>
      </c>
      <c r="C42" s="199">
        <f>SUM(C$43:C$43)</f>
        <v>1.4547777477799999</v>
      </c>
      <c r="D42" s="200">
        <f>SUM(D$43:D$43)</f>
        <v>2.0799999999999999E-4</v>
      </c>
      <c r="E42" s="25"/>
      <c r="F42" s="25"/>
      <c r="G42" s="25"/>
      <c r="H42" s="25"/>
      <c r="I42" s="25"/>
      <c r="J42" s="25"/>
      <c r="K42" s="25"/>
      <c r="L42" s="25"/>
      <c r="M42" s="25"/>
      <c r="N42" s="25"/>
      <c r="O42" s="25"/>
      <c r="P42" s="25"/>
      <c r="Q42" s="25"/>
    </row>
    <row r="43" spans="1:17" outlineLevel="4" x14ac:dyDescent="0.3">
      <c r="A43" s="174" t="s">
        <v>94</v>
      </c>
      <c r="B43" s="175">
        <v>3.4605431809999997E-2</v>
      </c>
      <c r="C43" s="175">
        <v>1.4547777477799999</v>
      </c>
      <c r="D43" s="197">
        <v>2.0799999999999999E-4</v>
      </c>
      <c r="E43" s="25"/>
      <c r="F43" s="25"/>
      <c r="G43" s="25"/>
      <c r="H43" s="25"/>
      <c r="I43" s="25"/>
      <c r="J43" s="25"/>
      <c r="K43" s="25"/>
      <c r="L43" s="25"/>
      <c r="M43" s="25"/>
      <c r="N43" s="25"/>
      <c r="O43" s="25"/>
      <c r="P43" s="25"/>
      <c r="Q43" s="25"/>
    </row>
    <row r="44" spans="1:17" ht="14.5" outlineLevel="2" x14ac:dyDescent="0.35">
      <c r="A44" s="201" t="s">
        <v>95</v>
      </c>
      <c r="B44" s="202">
        <f>B$45+B$55+B$66+B$68+B$75+B$77+B$79</f>
        <v>114.87644301746001</v>
      </c>
      <c r="C44" s="202">
        <f>C$45+C$55+C$66+C$68+C$75+C$77+C$79</f>
        <v>4829.2907880136017</v>
      </c>
      <c r="D44" s="203">
        <f>D$45+D$55+D$66+D$68+D$75+D$77+D$79</f>
        <v>0.69178200000000012</v>
      </c>
      <c r="E44" s="25"/>
      <c r="F44" s="25"/>
      <c r="G44" s="25"/>
      <c r="H44" s="25"/>
      <c r="I44" s="25"/>
      <c r="J44" s="25"/>
      <c r="K44" s="25"/>
      <c r="L44" s="25"/>
      <c r="M44" s="25"/>
      <c r="N44" s="25"/>
      <c r="O44" s="25"/>
      <c r="P44" s="25"/>
      <c r="Q44" s="25"/>
    </row>
    <row r="45" spans="1:17" ht="14" outlineLevel="3" x14ac:dyDescent="0.35">
      <c r="A45" s="198" t="s">
        <v>96</v>
      </c>
      <c r="B45" s="199">
        <f>SUM(B$46:B$54)</f>
        <v>82.827489272820003</v>
      </c>
      <c r="C45" s="199">
        <f>SUM(C$46:C$54)</f>
        <v>3481.9848215421307</v>
      </c>
      <c r="D45" s="200">
        <f>SUM(D$46:D$54)</f>
        <v>0.49878600000000006</v>
      </c>
      <c r="E45" s="25"/>
      <c r="F45" s="25"/>
      <c r="G45" s="25"/>
      <c r="H45" s="25"/>
      <c r="I45" s="25"/>
      <c r="J45" s="25"/>
      <c r="K45" s="25"/>
      <c r="L45" s="25"/>
      <c r="M45" s="25"/>
      <c r="N45" s="25"/>
      <c r="O45" s="25"/>
      <c r="P45" s="25"/>
      <c r="Q45" s="25"/>
    </row>
    <row r="46" spans="1:17" outlineLevel="4" x14ac:dyDescent="0.3">
      <c r="A46" s="174" t="s">
        <v>97</v>
      </c>
      <c r="B46" s="175">
        <v>1.146224364E-2</v>
      </c>
      <c r="C46" s="175">
        <v>0.48186126030999998</v>
      </c>
      <c r="D46" s="197">
        <v>6.8999999999999997E-5</v>
      </c>
      <c r="E46" s="25"/>
      <c r="F46" s="25"/>
      <c r="G46" s="25"/>
      <c r="H46" s="25"/>
      <c r="I46" s="25"/>
      <c r="J46" s="25"/>
      <c r="K46" s="25"/>
      <c r="L46" s="25"/>
      <c r="M46" s="25"/>
      <c r="N46" s="25"/>
      <c r="O46" s="25"/>
      <c r="P46" s="25"/>
      <c r="Q46" s="25"/>
    </row>
    <row r="47" spans="1:17" outlineLevel="4" x14ac:dyDescent="0.3">
      <c r="A47" s="174" t="s">
        <v>98</v>
      </c>
      <c r="B47" s="175">
        <v>0.12100019522</v>
      </c>
      <c r="C47" s="175">
        <v>5.08672720701</v>
      </c>
      <c r="D47" s="197">
        <v>7.2900000000000005E-4</v>
      </c>
      <c r="E47" s="25"/>
      <c r="F47" s="25"/>
      <c r="G47" s="25"/>
      <c r="H47" s="25"/>
      <c r="I47" s="25"/>
      <c r="J47" s="25"/>
      <c r="K47" s="25"/>
      <c r="L47" s="25"/>
      <c r="M47" s="25"/>
      <c r="N47" s="25"/>
      <c r="O47" s="25"/>
      <c r="P47" s="25"/>
      <c r="Q47" s="25"/>
    </row>
    <row r="48" spans="1:17" outlineLevel="4" x14ac:dyDescent="0.3">
      <c r="A48" s="174" t="s">
        <v>99</v>
      </c>
      <c r="B48" s="175">
        <v>0.10114868791000001</v>
      </c>
      <c r="C48" s="175">
        <v>4.2521896911699999</v>
      </c>
      <c r="D48" s="197">
        <v>6.0899999999999995E-4</v>
      </c>
      <c r="E48" s="25"/>
      <c r="F48" s="25"/>
      <c r="G48" s="25"/>
      <c r="H48" s="25"/>
      <c r="I48" s="25"/>
      <c r="J48" s="25"/>
      <c r="K48" s="25"/>
      <c r="L48" s="25"/>
      <c r="M48" s="25"/>
      <c r="N48" s="25"/>
      <c r="O48" s="25"/>
      <c r="P48" s="25"/>
      <c r="Q48" s="25"/>
    </row>
    <row r="49" spans="1:17" outlineLevel="4" x14ac:dyDescent="0.3">
      <c r="A49" s="174" t="s">
        <v>100</v>
      </c>
      <c r="B49" s="175">
        <v>2.9522925032999998</v>
      </c>
      <c r="C49" s="175">
        <v>124.11142454661</v>
      </c>
      <c r="D49" s="197">
        <v>1.7779E-2</v>
      </c>
      <c r="E49" s="25"/>
      <c r="F49" s="25"/>
      <c r="G49" s="25"/>
      <c r="H49" s="25"/>
      <c r="I49" s="25"/>
      <c r="J49" s="25"/>
      <c r="K49" s="25"/>
      <c r="L49" s="25"/>
      <c r="M49" s="25"/>
      <c r="N49" s="25"/>
      <c r="O49" s="25"/>
      <c r="P49" s="25"/>
      <c r="Q49" s="25"/>
    </row>
    <row r="50" spans="1:17" outlineLevel="4" x14ac:dyDescent="0.3">
      <c r="A50" s="174" t="s">
        <v>101</v>
      </c>
      <c r="B50" s="175">
        <v>44.012826736089998</v>
      </c>
      <c r="C50" s="175">
        <v>1850.2552231591901</v>
      </c>
      <c r="D50" s="197">
        <v>0.265044</v>
      </c>
      <c r="E50" s="25"/>
      <c r="F50" s="25"/>
      <c r="G50" s="25"/>
      <c r="H50" s="25"/>
      <c r="I50" s="25"/>
      <c r="J50" s="25"/>
      <c r="K50" s="25"/>
      <c r="L50" s="25"/>
      <c r="M50" s="25"/>
      <c r="N50" s="25"/>
      <c r="O50" s="25"/>
      <c r="P50" s="25"/>
      <c r="Q50" s="25"/>
    </row>
    <row r="51" spans="1:17" outlineLevel="4" x14ac:dyDescent="0.3">
      <c r="A51" s="174" t="s">
        <v>102</v>
      </c>
      <c r="B51" s="175">
        <v>5.7900951672299996</v>
      </c>
      <c r="C51" s="175">
        <v>243.40981073539001</v>
      </c>
      <c r="D51" s="197">
        <v>3.4868000000000003E-2</v>
      </c>
      <c r="E51" s="25"/>
      <c r="F51" s="25"/>
      <c r="G51" s="25"/>
      <c r="H51" s="25"/>
      <c r="I51" s="25"/>
      <c r="J51" s="25"/>
      <c r="K51" s="25"/>
      <c r="L51" s="25"/>
      <c r="M51" s="25"/>
      <c r="N51" s="25"/>
      <c r="O51" s="25"/>
      <c r="P51" s="25"/>
      <c r="Q51" s="25"/>
    </row>
    <row r="52" spans="1:17" outlineLevel="4" x14ac:dyDescent="0.3">
      <c r="A52" s="174" t="s">
        <v>103</v>
      </c>
      <c r="B52" s="175">
        <v>16.17518239755</v>
      </c>
      <c r="C52" s="175">
        <v>679.98849281046</v>
      </c>
      <c r="D52" s="197">
        <v>9.7406999999999994E-2</v>
      </c>
      <c r="E52" s="25"/>
      <c r="F52" s="25"/>
      <c r="G52" s="25"/>
      <c r="H52" s="25"/>
      <c r="I52" s="25"/>
      <c r="J52" s="25"/>
      <c r="K52" s="25"/>
      <c r="L52" s="25"/>
      <c r="M52" s="25"/>
      <c r="N52" s="25"/>
      <c r="O52" s="25"/>
      <c r="P52" s="25"/>
      <c r="Q52" s="25"/>
    </row>
    <row r="53" spans="1:17" outlineLevel="4" x14ac:dyDescent="0.3">
      <c r="A53" s="174" t="s">
        <v>104</v>
      </c>
      <c r="B53" s="175">
        <v>13.54928616023</v>
      </c>
      <c r="C53" s="175">
        <v>569.59844089061005</v>
      </c>
      <c r="D53" s="197">
        <v>8.1592999999999999E-2</v>
      </c>
      <c r="E53" s="25"/>
      <c r="F53" s="25"/>
      <c r="G53" s="25"/>
      <c r="H53" s="25"/>
      <c r="I53" s="25"/>
      <c r="J53" s="25"/>
      <c r="K53" s="25"/>
      <c r="L53" s="25"/>
      <c r="M53" s="25"/>
      <c r="N53" s="25"/>
      <c r="O53" s="25"/>
      <c r="P53" s="25"/>
      <c r="Q53" s="25"/>
    </row>
    <row r="54" spans="1:17" outlineLevel="4" x14ac:dyDescent="0.3">
      <c r="A54" s="174" t="s">
        <v>105</v>
      </c>
      <c r="B54" s="175">
        <v>0.11419518165</v>
      </c>
      <c r="C54" s="175">
        <v>4.8006512413799998</v>
      </c>
      <c r="D54" s="197">
        <v>6.8800000000000003E-4</v>
      </c>
      <c r="E54" s="25"/>
      <c r="F54" s="25"/>
      <c r="G54" s="25"/>
      <c r="H54" s="25"/>
      <c r="I54" s="25"/>
      <c r="J54" s="25"/>
      <c r="K54" s="25"/>
      <c r="L54" s="25"/>
      <c r="M54" s="25"/>
      <c r="N54" s="25"/>
      <c r="O54" s="25"/>
      <c r="P54" s="25"/>
      <c r="Q54" s="25"/>
    </row>
    <row r="55" spans="1:17" ht="14" outlineLevel="3" x14ac:dyDescent="0.35">
      <c r="A55" s="198" t="s">
        <v>106</v>
      </c>
      <c r="B55" s="199">
        <f>SUM(B$56:B$65)</f>
        <v>7.6291777373399992</v>
      </c>
      <c r="C55" s="199">
        <f>SUM(C$56:C$65)</f>
        <v>320.72300290085008</v>
      </c>
      <c r="D55" s="200">
        <f>SUM(D$56:D$65)</f>
        <v>4.5942000000000004E-2</v>
      </c>
      <c r="E55" s="25"/>
      <c r="F55" s="25"/>
      <c r="G55" s="25"/>
      <c r="H55" s="25"/>
      <c r="I55" s="25"/>
      <c r="J55" s="25"/>
      <c r="K55" s="25"/>
      <c r="L55" s="25"/>
      <c r="M55" s="25"/>
      <c r="N55" s="25"/>
      <c r="O55" s="25"/>
      <c r="P55" s="25"/>
      <c r="Q55" s="25"/>
    </row>
    <row r="56" spans="1:17" outlineLevel="4" x14ac:dyDescent="0.3">
      <c r="A56" s="174" t="s">
        <v>107</v>
      </c>
      <c r="B56" s="175">
        <v>2.3139083970000002E-2</v>
      </c>
      <c r="C56" s="175">
        <v>0.972743951</v>
      </c>
      <c r="D56" s="197">
        <v>1.3899999999999999E-4</v>
      </c>
      <c r="E56" s="25"/>
      <c r="F56" s="25"/>
      <c r="G56" s="25"/>
      <c r="H56" s="25"/>
      <c r="I56" s="25"/>
      <c r="J56" s="25"/>
      <c r="K56" s="25"/>
      <c r="L56" s="25"/>
      <c r="M56" s="25"/>
      <c r="N56" s="25"/>
      <c r="O56" s="25"/>
      <c r="P56" s="25"/>
      <c r="Q56" s="25"/>
    </row>
    <row r="57" spans="1:17" outlineLevel="4" x14ac:dyDescent="0.3">
      <c r="A57" s="174" t="s">
        <v>108</v>
      </c>
      <c r="B57" s="175">
        <v>0.20898023264000001</v>
      </c>
      <c r="C57" s="175">
        <v>8.7853200000000005</v>
      </c>
      <c r="D57" s="197">
        <v>1.258E-3</v>
      </c>
      <c r="E57" s="25"/>
      <c r="F57" s="25"/>
      <c r="G57" s="25"/>
      <c r="H57" s="25"/>
      <c r="I57" s="25"/>
      <c r="J57" s="25"/>
      <c r="K57" s="25"/>
      <c r="L57" s="25"/>
      <c r="M57" s="25"/>
      <c r="N57" s="25"/>
      <c r="O57" s="25"/>
      <c r="P57" s="25"/>
      <c r="Q57" s="25"/>
    </row>
    <row r="58" spans="1:17" outlineLevel="4" x14ac:dyDescent="0.3">
      <c r="A58" s="174" t="s">
        <v>109</v>
      </c>
      <c r="B58" s="175">
        <v>5.0846934205799998</v>
      </c>
      <c r="C58" s="175">
        <v>213.75542670784</v>
      </c>
      <c r="D58" s="197">
        <v>3.0620000000000001E-2</v>
      </c>
      <c r="E58" s="25"/>
      <c r="F58" s="25"/>
      <c r="G58" s="25"/>
      <c r="H58" s="25"/>
      <c r="I58" s="25"/>
      <c r="J58" s="25"/>
      <c r="K58" s="25"/>
      <c r="L58" s="25"/>
      <c r="M58" s="25"/>
      <c r="N58" s="25"/>
      <c r="O58" s="25"/>
      <c r="P58" s="25"/>
      <c r="Q58" s="25"/>
    </row>
    <row r="59" spans="1:17" outlineLevel="4" x14ac:dyDescent="0.3">
      <c r="A59" s="174" t="s">
        <v>110</v>
      </c>
      <c r="B59" s="175">
        <v>0.20898023264000001</v>
      </c>
      <c r="C59" s="175">
        <v>8.7853200000000005</v>
      </c>
      <c r="D59" s="197">
        <v>1.258E-3</v>
      </c>
      <c r="E59" s="25"/>
      <c r="F59" s="25"/>
      <c r="G59" s="25"/>
      <c r="H59" s="25"/>
      <c r="I59" s="25"/>
      <c r="J59" s="25"/>
      <c r="K59" s="25"/>
      <c r="L59" s="25"/>
      <c r="M59" s="25"/>
      <c r="N59" s="25"/>
      <c r="O59" s="25"/>
      <c r="P59" s="25"/>
      <c r="Q59" s="25"/>
    </row>
    <row r="60" spans="1:17" outlineLevel="4" x14ac:dyDescent="0.3">
      <c r="A60" s="174" t="s">
        <v>111</v>
      </c>
      <c r="B60" s="175">
        <v>0.58744407237999996</v>
      </c>
      <c r="C60" s="175">
        <v>24.695561359159999</v>
      </c>
      <c r="D60" s="197">
        <v>3.5379999999999999E-3</v>
      </c>
      <c r="E60" s="25"/>
      <c r="F60" s="25"/>
      <c r="G60" s="25"/>
      <c r="H60" s="25"/>
      <c r="I60" s="25"/>
      <c r="J60" s="25"/>
      <c r="K60" s="25"/>
      <c r="L60" s="25"/>
      <c r="M60" s="25"/>
      <c r="N60" s="25"/>
      <c r="O60" s="25"/>
      <c r="P60" s="25"/>
      <c r="Q60" s="25"/>
    </row>
    <row r="61" spans="1:17" outlineLevel="4" x14ac:dyDescent="0.3">
      <c r="A61" s="174" t="s">
        <v>112</v>
      </c>
      <c r="B61" s="175">
        <v>0.10378189140999999</v>
      </c>
      <c r="C61" s="175">
        <v>4.3628869331200004</v>
      </c>
      <c r="D61" s="197">
        <v>6.2500000000000001E-4</v>
      </c>
      <c r="E61" s="25"/>
      <c r="F61" s="25"/>
      <c r="G61" s="25"/>
      <c r="H61" s="25"/>
      <c r="I61" s="25"/>
      <c r="J61" s="25"/>
      <c r="K61" s="25"/>
      <c r="L61" s="25"/>
      <c r="M61" s="25"/>
      <c r="N61" s="25"/>
      <c r="O61" s="25"/>
      <c r="P61" s="25"/>
      <c r="Q61" s="25"/>
    </row>
    <row r="62" spans="1:17" outlineLevel="4" x14ac:dyDescent="0.3">
      <c r="A62" s="174" t="s">
        <v>113</v>
      </c>
      <c r="B62" s="175">
        <v>0.1</v>
      </c>
      <c r="C62" s="175">
        <v>4.2039</v>
      </c>
      <c r="D62" s="197">
        <v>6.02E-4</v>
      </c>
      <c r="E62" s="25"/>
      <c r="F62" s="25"/>
      <c r="G62" s="25"/>
      <c r="H62" s="25"/>
      <c r="I62" s="25"/>
      <c r="J62" s="25"/>
      <c r="K62" s="25"/>
      <c r="L62" s="25"/>
      <c r="M62" s="25"/>
      <c r="N62" s="25"/>
      <c r="O62" s="25"/>
      <c r="P62" s="25"/>
      <c r="Q62" s="25"/>
    </row>
    <row r="63" spans="1:17" outlineLevel="4" x14ac:dyDescent="0.3">
      <c r="A63" s="174" t="s">
        <v>114</v>
      </c>
      <c r="B63" s="175">
        <v>5.1251526E-4</v>
      </c>
      <c r="C63" s="175">
        <v>2.1545629019999998E-2</v>
      </c>
      <c r="D63" s="197">
        <v>3.0000000000000001E-6</v>
      </c>
      <c r="E63" s="25"/>
      <c r="F63" s="25"/>
      <c r="G63" s="25"/>
      <c r="H63" s="25"/>
      <c r="I63" s="25"/>
      <c r="J63" s="25"/>
      <c r="K63" s="25"/>
      <c r="L63" s="25"/>
      <c r="M63" s="25"/>
      <c r="N63" s="25"/>
      <c r="O63" s="25"/>
      <c r="P63" s="25"/>
      <c r="Q63" s="25"/>
    </row>
    <row r="64" spans="1:17" outlineLevel="4" x14ac:dyDescent="0.3">
      <c r="A64" s="174" t="s">
        <v>115</v>
      </c>
      <c r="B64" s="175">
        <v>0.46506189307000001</v>
      </c>
      <c r="C64" s="175">
        <v>19.550736922790001</v>
      </c>
      <c r="D64" s="197">
        <v>2.8010000000000001E-3</v>
      </c>
      <c r="E64" s="25"/>
      <c r="F64" s="25"/>
      <c r="G64" s="25"/>
      <c r="H64" s="25"/>
      <c r="I64" s="25"/>
      <c r="J64" s="25"/>
      <c r="K64" s="25"/>
      <c r="L64" s="25"/>
      <c r="M64" s="25"/>
      <c r="N64" s="25"/>
      <c r="O64" s="25"/>
      <c r="P64" s="25"/>
      <c r="Q64" s="25"/>
    </row>
    <row r="65" spans="1:17" outlineLevel="4" x14ac:dyDescent="0.3">
      <c r="A65" s="174" t="s">
        <v>116</v>
      </c>
      <c r="B65" s="175">
        <v>0.84658439538999997</v>
      </c>
      <c r="C65" s="175">
        <v>35.589561397920001</v>
      </c>
      <c r="D65" s="197">
        <v>5.0980000000000001E-3</v>
      </c>
      <c r="E65" s="25"/>
      <c r="F65" s="25"/>
      <c r="G65" s="25"/>
      <c r="H65" s="25"/>
      <c r="I65" s="25"/>
      <c r="J65" s="25"/>
      <c r="K65" s="25"/>
      <c r="L65" s="25"/>
      <c r="M65" s="25"/>
      <c r="N65" s="25"/>
      <c r="O65" s="25"/>
      <c r="P65" s="25"/>
      <c r="Q65" s="25"/>
    </row>
    <row r="66" spans="1:17" ht="14" outlineLevel="3" x14ac:dyDescent="0.35">
      <c r="A66" s="198" t="s">
        <v>117</v>
      </c>
      <c r="B66" s="199">
        <f>SUM(B$67:B$67)</f>
        <v>0.60585586000000002</v>
      </c>
      <c r="C66" s="199">
        <f>SUM(C$67:C$67)</f>
        <v>25.469574498539998</v>
      </c>
      <c r="D66" s="200">
        <f>SUM(D$67:D$67)</f>
        <v>3.6480000000000002E-3</v>
      </c>
      <c r="E66" s="25"/>
      <c r="F66" s="25"/>
      <c r="G66" s="25"/>
      <c r="H66" s="25"/>
      <c r="I66" s="25"/>
      <c r="J66" s="25"/>
      <c r="K66" s="25"/>
      <c r="L66" s="25"/>
      <c r="M66" s="25"/>
      <c r="N66" s="25"/>
      <c r="O66" s="25"/>
      <c r="P66" s="25"/>
      <c r="Q66" s="25"/>
    </row>
    <row r="67" spans="1:17" outlineLevel="4" x14ac:dyDescent="0.3">
      <c r="A67" s="174" t="s">
        <v>118</v>
      </c>
      <c r="B67" s="175">
        <v>0.60585586000000002</v>
      </c>
      <c r="C67" s="175">
        <v>25.469574498539998</v>
      </c>
      <c r="D67" s="197">
        <v>3.6480000000000002E-3</v>
      </c>
      <c r="E67" s="25"/>
      <c r="F67" s="25"/>
      <c r="G67" s="25"/>
      <c r="H67" s="25"/>
      <c r="I67" s="25"/>
      <c r="J67" s="25"/>
      <c r="K67" s="25"/>
      <c r="L67" s="25"/>
      <c r="M67" s="25"/>
      <c r="N67" s="25"/>
      <c r="O67" s="25"/>
      <c r="P67" s="25"/>
      <c r="Q67" s="25"/>
    </row>
    <row r="68" spans="1:17" ht="14" outlineLevel="3" x14ac:dyDescent="0.35">
      <c r="A68" s="198" t="s">
        <v>119</v>
      </c>
      <c r="B68" s="199">
        <f>SUM(B$69:B$74)</f>
        <v>1.4786194744199999</v>
      </c>
      <c r="C68" s="199">
        <f>SUM(C$69:C$74)</f>
        <v>62.159684084680002</v>
      </c>
      <c r="D68" s="200">
        <f>SUM(D$69:D$74)</f>
        <v>8.9039999999999987E-3</v>
      </c>
      <c r="E68" s="25"/>
      <c r="F68" s="25"/>
      <c r="G68" s="25"/>
      <c r="H68" s="25"/>
      <c r="I68" s="25"/>
      <c r="J68" s="25"/>
      <c r="K68" s="25"/>
      <c r="L68" s="25"/>
      <c r="M68" s="25"/>
      <c r="N68" s="25"/>
      <c r="O68" s="25"/>
      <c r="P68" s="25"/>
      <c r="Q68" s="25"/>
    </row>
    <row r="69" spans="1:17" outlineLevel="4" x14ac:dyDescent="0.3">
      <c r="A69" s="174" t="s">
        <v>120</v>
      </c>
      <c r="B69" s="175">
        <v>0.67918575608999998</v>
      </c>
      <c r="C69" s="175">
        <v>28.552289999999999</v>
      </c>
      <c r="D69" s="197">
        <v>4.0899999999999999E-3</v>
      </c>
      <c r="E69" s="25"/>
      <c r="F69" s="25"/>
      <c r="G69" s="25"/>
      <c r="H69" s="25"/>
      <c r="I69" s="25"/>
      <c r="J69" s="25"/>
      <c r="K69" s="25"/>
      <c r="L69" s="25"/>
      <c r="M69" s="25"/>
      <c r="N69" s="25"/>
      <c r="O69" s="25"/>
      <c r="P69" s="25"/>
      <c r="Q69" s="25"/>
    </row>
    <row r="70" spans="1:17" outlineLevel="4" x14ac:dyDescent="0.3">
      <c r="A70" s="174" t="s">
        <v>121</v>
      </c>
      <c r="B70" s="175">
        <v>5.3424960000000002E-5</v>
      </c>
      <c r="C70" s="175">
        <v>2.2459319199999998E-3</v>
      </c>
      <c r="D70" s="197">
        <v>0</v>
      </c>
      <c r="E70" s="25"/>
      <c r="F70" s="25"/>
      <c r="G70" s="25"/>
      <c r="H70" s="25"/>
      <c r="I70" s="25"/>
      <c r="J70" s="25"/>
      <c r="K70" s="25"/>
      <c r="L70" s="25"/>
      <c r="M70" s="25"/>
      <c r="N70" s="25"/>
      <c r="O70" s="25"/>
      <c r="P70" s="25"/>
      <c r="Q70" s="25"/>
    </row>
    <row r="71" spans="1:17" outlineLevel="4" x14ac:dyDescent="0.3">
      <c r="A71" s="174" t="s">
        <v>122</v>
      </c>
      <c r="B71" s="175">
        <v>6.7086455600000004E-3</v>
      </c>
      <c r="C71" s="175">
        <v>0.28202475074</v>
      </c>
      <c r="D71" s="197">
        <v>4.0000000000000003E-5</v>
      </c>
      <c r="E71" s="25"/>
      <c r="F71" s="25"/>
      <c r="G71" s="25"/>
      <c r="H71" s="25"/>
      <c r="I71" s="25"/>
      <c r="J71" s="25"/>
      <c r="K71" s="25"/>
      <c r="L71" s="25"/>
      <c r="M71" s="25"/>
      <c r="N71" s="25"/>
      <c r="O71" s="25"/>
      <c r="P71" s="25"/>
      <c r="Q71" s="25"/>
    </row>
    <row r="72" spans="1:17" outlineLevel="4" x14ac:dyDescent="0.3">
      <c r="A72" s="174" t="s">
        <v>123</v>
      </c>
      <c r="B72" s="175">
        <v>0.19288559186000001</v>
      </c>
      <c r="C72" s="175">
        <v>8.1087173963799994</v>
      </c>
      <c r="D72" s="197">
        <v>1.1620000000000001E-3</v>
      </c>
      <c r="E72" s="25"/>
      <c r="F72" s="25"/>
      <c r="G72" s="25"/>
      <c r="H72" s="25"/>
      <c r="I72" s="25"/>
      <c r="J72" s="25"/>
      <c r="K72" s="25"/>
      <c r="L72" s="25"/>
      <c r="M72" s="25"/>
      <c r="N72" s="25"/>
      <c r="O72" s="25"/>
      <c r="P72" s="25"/>
      <c r="Q72" s="25"/>
    </row>
    <row r="73" spans="1:17" outlineLevel="4" x14ac:dyDescent="0.3">
      <c r="A73" s="174" t="s">
        <v>124</v>
      </c>
      <c r="B73" s="175">
        <v>0.43278562789000002</v>
      </c>
      <c r="C73" s="175">
        <v>18.193875010589998</v>
      </c>
      <c r="D73" s="197">
        <v>2.6059999999999998E-3</v>
      </c>
      <c r="E73" s="25"/>
      <c r="F73" s="25"/>
      <c r="G73" s="25"/>
      <c r="H73" s="25"/>
      <c r="I73" s="25"/>
      <c r="J73" s="25"/>
      <c r="K73" s="25"/>
      <c r="L73" s="25"/>
      <c r="M73" s="25"/>
      <c r="N73" s="25"/>
      <c r="O73" s="25"/>
      <c r="P73" s="25"/>
      <c r="Q73" s="25"/>
    </row>
    <row r="74" spans="1:17" outlineLevel="4" x14ac:dyDescent="0.3">
      <c r="A74" s="174" t="s">
        <v>125</v>
      </c>
      <c r="B74" s="175">
        <v>0.16700042806000001</v>
      </c>
      <c r="C74" s="175">
        <v>7.0205309950499997</v>
      </c>
      <c r="D74" s="197">
        <v>1.0059999999999999E-3</v>
      </c>
      <c r="E74" s="25"/>
      <c r="F74" s="25"/>
      <c r="G74" s="25"/>
      <c r="H74" s="25"/>
      <c r="I74" s="25"/>
      <c r="J74" s="25"/>
      <c r="K74" s="25"/>
      <c r="L74" s="25"/>
      <c r="M74" s="25"/>
      <c r="N74" s="25"/>
      <c r="O74" s="25"/>
      <c r="P74" s="25"/>
      <c r="Q74" s="25"/>
    </row>
    <row r="75" spans="1:17" ht="14" outlineLevel="3" x14ac:dyDescent="0.35">
      <c r="A75" s="198" t="s">
        <v>126</v>
      </c>
      <c r="B75" s="199">
        <f>SUM(B$76:B$76)</f>
        <v>15.219165084</v>
      </c>
      <c r="C75" s="199">
        <f>SUM(C$76:C$76)</f>
        <v>639.79848096628996</v>
      </c>
      <c r="D75" s="200">
        <f>SUM(D$76:D$76)</f>
        <v>9.1648999999999994E-2</v>
      </c>
      <c r="E75" s="25"/>
      <c r="F75" s="25"/>
      <c r="G75" s="25"/>
      <c r="H75" s="25"/>
      <c r="I75" s="25"/>
      <c r="J75" s="25"/>
      <c r="K75" s="25"/>
      <c r="L75" s="25"/>
      <c r="M75" s="25"/>
      <c r="N75" s="25"/>
      <c r="O75" s="25"/>
      <c r="P75" s="25"/>
      <c r="Q75" s="25"/>
    </row>
    <row r="76" spans="1:17" outlineLevel="4" x14ac:dyDescent="0.3">
      <c r="A76" s="174" t="s">
        <v>134</v>
      </c>
      <c r="B76" s="175">
        <v>15.219165084</v>
      </c>
      <c r="C76" s="175">
        <v>639.79848096628996</v>
      </c>
      <c r="D76" s="197">
        <v>9.1648999999999994E-2</v>
      </c>
      <c r="E76" s="25"/>
      <c r="F76" s="25"/>
      <c r="G76" s="25"/>
      <c r="H76" s="25"/>
      <c r="I76" s="25"/>
      <c r="J76" s="25"/>
      <c r="K76" s="25"/>
      <c r="L76" s="25"/>
      <c r="M76" s="25"/>
      <c r="N76" s="25"/>
      <c r="O76" s="25"/>
      <c r="P76" s="25"/>
      <c r="Q76" s="25"/>
    </row>
    <row r="77" spans="1:17" ht="14" outlineLevel="3" x14ac:dyDescent="0.35">
      <c r="A77" s="198" t="s">
        <v>135</v>
      </c>
      <c r="B77" s="199">
        <f>SUM(B$78:B$78)</f>
        <v>3</v>
      </c>
      <c r="C77" s="199">
        <f>SUM(C$78:C$78)</f>
        <v>126.117</v>
      </c>
      <c r="D77" s="200">
        <f>SUM(D$78:D$78)</f>
        <v>1.8065999999999999E-2</v>
      </c>
      <c r="E77" s="25"/>
      <c r="F77" s="25"/>
      <c r="G77" s="25"/>
      <c r="H77" s="25"/>
      <c r="I77" s="25"/>
      <c r="J77" s="25"/>
      <c r="K77" s="25"/>
      <c r="L77" s="25"/>
      <c r="M77" s="25"/>
      <c r="N77" s="25"/>
      <c r="O77" s="25"/>
      <c r="P77" s="25"/>
      <c r="Q77" s="25"/>
    </row>
    <row r="78" spans="1:17" outlineLevel="4" x14ac:dyDescent="0.3">
      <c r="A78" s="174" t="s">
        <v>136</v>
      </c>
      <c r="B78" s="175">
        <v>3</v>
      </c>
      <c r="C78" s="175">
        <v>126.117</v>
      </c>
      <c r="D78" s="197">
        <v>1.8065999999999999E-2</v>
      </c>
      <c r="E78" s="25"/>
      <c r="F78" s="25"/>
      <c r="G78" s="25"/>
      <c r="H78" s="25"/>
      <c r="I78" s="25"/>
      <c r="J78" s="25"/>
      <c r="K78" s="25"/>
      <c r="L78" s="25"/>
      <c r="M78" s="25"/>
      <c r="N78" s="25"/>
      <c r="O78" s="25"/>
      <c r="P78" s="25"/>
      <c r="Q78" s="25"/>
    </row>
    <row r="79" spans="1:17" ht="14" outlineLevel="3" x14ac:dyDescent="0.35">
      <c r="A79" s="198" t="s">
        <v>137</v>
      </c>
      <c r="B79" s="199">
        <f>SUM(B$80:B$80)</f>
        <v>4.1161355888799998</v>
      </c>
      <c r="C79" s="199">
        <f>SUM(C$80:C$80)</f>
        <v>173.03822402111001</v>
      </c>
      <c r="D79" s="200">
        <f>SUM(D$80:D$80)</f>
        <v>2.4787E-2</v>
      </c>
      <c r="E79" s="25"/>
      <c r="F79" s="25"/>
      <c r="G79" s="25"/>
      <c r="H79" s="25"/>
      <c r="I79" s="25"/>
      <c r="J79" s="25"/>
      <c r="K79" s="25"/>
      <c r="L79" s="25"/>
      <c r="M79" s="25"/>
      <c r="N79" s="25"/>
      <c r="O79" s="25"/>
      <c r="P79" s="25"/>
      <c r="Q79" s="25"/>
    </row>
    <row r="80" spans="1:17" outlineLevel="4" x14ac:dyDescent="0.3">
      <c r="A80" s="174" t="s">
        <v>104</v>
      </c>
      <c r="B80" s="175">
        <v>4.1161355888799998</v>
      </c>
      <c r="C80" s="175">
        <v>173.03822402111001</v>
      </c>
      <c r="D80" s="197">
        <v>2.4787E-2</v>
      </c>
      <c r="E80" s="25"/>
      <c r="F80" s="25"/>
      <c r="G80" s="25"/>
      <c r="H80" s="25"/>
      <c r="I80" s="25"/>
      <c r="J80" s="25"/>
      <c r="K80" s="25"/>
      <c r="L80" s="25"/>
      <c r="M80" s="25"/>
      <c r="N80" s="25"/>
      <c r="O80" s="25"/>
      <c r="P80" s="25"/>
      <c r="Q80" s="25"/>
    </row>
    <row r="81" spans="1:17" ht="14.5" outlineLevel="1" x14ac:dyDescent="0.35">
      <c r="A81" s="204" t="s">
        <v>2</v>
      </c>
      <c r="B81" s="205">
        <f>B$82+B$97</f>
        <v>6.8629393971300008</v>
      </c>
      <c r="C81" s="205">
        <f>C$82+C$97</f>
        <v>288.51110931760996</v>
      </c>
      <c r="D81" s="206">
        <f>D$82+D$97</f>
        <v>4.1326000000000002E-2</v>
      </c>
      <c r="E81" s="25"/>
      <c r="F81" s="25"/>
      <c r="G81" s="25"/>
      <c r="H81" s="25"/>
      <c r="I81" s="25"/>
      <c r="J81" s="25"/>
      <c r="K81" s="25"/>
      <c r="L81" s="25"/>
      <c r="M81" s="25"/>
      <c r="N81" s="25"/>
      <c r="O81" s="25"/>
      <c r="P81" s="25"/>
      <c r="Q81" s="25"/>
    </row>
    <row r="82" spans="1:17" ht="14.5" outlineLevel="2" x14ac:dyDescent="0.35">
      <c r="A82" s="201" t="s">
        <v>57</v>
      </c>
      <c r="B82" s="202">
        <f>B$83+B$87+B$95</f>
        <v>1.6498361975499998</v>
      </c>
      <c r="C82" s="202">
        <f>C$83+C$87+C$95</f>
        <v>69.357463909260005</v>
      </c>
      <c r="D82" s="203">
        <f>D$83+D$87+D$95</f>
        <v>9.9330000000000009E-3</v>
      </c>
      <c r="E82" s="25"/>
      <c r="F82" s="25"/>
      <c r="G82" s="25"/>
      <c r="H82" s="25"/>
      <c r="I82" s="25"/>
      <c r="J82" s="25"/>
      <c r="K82" s="25"/>
      <c r="L82" s="25"/>
      <c r="M82" s="25"/>
      <c r="N82" s="25"/>
      <c r="O82" s="25"/>
      <c r="P82" s="25"/>
      <c r="Q82" s="25"/>
    </row>
    <row r="83" spans="1:17" ht="14" outlineLevel="3" x14ac:dyDescent="0.35">
      <c r="A83" s="198" t="s">
        <v>58</v>
      </c>
      <c r="B83" s="199">
        <f>SUM(B$84:B$86)</f>
        <v>0.10644904969000001</v>
      </c>
      <c r="C83" s="199">
        <f>SUM(C$84:C$86)</f>
        <v>4.4750116000000002</v>
      </c>
      <c r="D83" s="200">
        <f>SUM(D$84:D$86)</f>
        <v>6.4100000000000008E-4</v>
      </c>
      <c r="E83" s="25"/>
      <c r="F83" s="25"/>
      <c r="G83" s="25"/>
      <c r="H83" s="25"/>
      <c r="I83" s="25"/>
      <c r="J83" s="25"/>
      <c r="K83" s="25"/>
      <c r="L83" s="25"/>
      <c r="M83" s="25"/>
      <c r="N83" s="25"/>
      <c r="O83" s="25"/>
      <c r="P83" s="25"/>
      <c r="Q83" s="25"/>
    </row>
    <row r="84" spans="1:17" outlineLevel="4" x14ac:dyDescent="0.3">
      <c r="A84" s="174" t="s">
        <v>138</v>
      </c>
      <c r="B84" s="175">
        <v>2.7593000000000001E-7</v>
      </c>
      <c r="C84" s="175">
        <v>1.1600000000000001E-5</v>
      </c>
      <c r="D84" s="197">
        <v>0</v>
      </c>
      <c r="E84" s="25"/>
      <c r="F84" s="25"/>
      <c r="G84" s="25"/>
      <c r="H84" s="25"/>
      <c r="I84" s="25"/>
      <c r="J84" s="25"/>
      <c r="K84" s="25"/>
      <c r="L84" s="25"/>
      <c r="M84" s="25"/>
      <c r="N84" s="25"/>
      <c r="O84" s="25"/>
      <c r="P84" s="25"/>
      <c r="Q84" s="25"/>
    </row>
    <row r="85" spans="1:17" outlineLevel="4" x14ac:dyDescent="0.3">
      <c r="A85" s="174" t="s">
        <v>139</v>
      </c>
      <c r="B85" s="175">
        <v>5.8873902810000003E-2</v>
      </c>
      <c r="C85" s="175">
        <v>2.4750000000000001</v>
      </c>
      <c r="D85" s="197">
        <v>3.5500000000000001E-4</v>
      </c>
      <c r="E85" s="25"/>
      <c r="F85" s="25"/>
      <c r="G85" s="25"/>
      <c r="H85" s="25"/>
      <c r="I85" s="25"/>
      <c r="J85" s="25"/>
      <c r="K85" s="25"/>
      <c r="L85" s="25"/>
      <c r="M85" s="25"/>
      <c r="N85" s="25"/>
      <c r="O85" s="25"/>
      <c r="P85" s="25"/>
      <c r="Q85" s="25"/>
    </row>
    <row r="86" spans="1:17" outlineLevel="4" x14ac:dyDescent="0.3">
      <c r="A86" s="174" t="s">
        <v>144</v>
      </c>
      <c r="B86" s="175">
        <v>4.7574870950000001E-2</v>
      </c>
      <c r="C86" s="175">
        <v>2</v>
      </c>
      <c r="D86" s="197">
        <v>2.8600000000000001E-4</v>
      </c>
      <c r="E86" s="25"/>
      <c r="F86" s="25"/>
      <c r="G86" s="25"/>
      <c r="H86" s="25"/>
      <c r="I86" s="25"/>
      <c r="J86" s="25"/>
      <c r="K86" s="25"/>
      <c r="L86" s="25"/>
      <c r="M86" s="25"/>
      <c r="N86" s="25"/>
      <c r="O86" s="25"/>
      <c r="P86" s="25"/>
      <c r="Q86" s="25"/>
    </row>
    <row r="87" spans="1:17" ht="14" outlineLevel="3" x14ac:dyDescent="0.35">
      <c r="A87" s="198" t="s">
        <v>93</v>
      </c>
      <c r="B87" s="199">
        <f>SUM(B$88:B$94)</f>
        <v>1.5433644391799999</v>
      </c>
      <c r="C87" s="199">
        <f>SUM(C$88:C$94)</f>
        <v>64.881497659260006</v>
      </c>
      <c r="D87" s="200">
        <f>SUM(D$88:D$94)</f>
        <v>9.2920000000000016E-3</v>
      </c>
      <c r="E87" s="25"/>
      <c r="F87" s="25"/>
      <c r="G87" s="25"/>
      <c r="H87" s="25"/>
      <c r="I87" s="25"/>
      <c r="J87" s="25"/>
      <c r="K87" s="25"/>
      <c r="L87" s="25"/>
      <c r="M87" s="25"/>
      <c r="N87" s="25"/>
      <c r="O87" s="25"/>
      <c r="P87" s="25"/>
      <c r="Q87" s="25"/>
    </row>
    <row r="88" spans="1:17" outlineLevel="4" x14ac:dyDescent="0.3">
      <c r="A88" s="174" t="s">
        <v>145</v>
      </c>
      <c r="B88" s="175">
        <v>6.2834343449999996E-2</v>
      </c>
      <c r="C88" s="175">
        <v>2.6414929643299998</v>
      </c>
      <c r="D88" s="197">
        <v>3.7800000000000003E-4</v>
      </c>
      <c r="E88" s="25"/>
      <c r="F88" s="25"/>
      <c r="G88" s="25"/>
      <c r="H88" s="25"/>
      <c r="I88" s="25"/>
      <c r="J88" s="25"/>
      <c r="K88" s="25"/>
      <c r="L88" s="25"/>
      <c r="M88" s="25"/>
      <c r="N88" s="25"/>
      <c r="O88" s="25"/>
      <c r="P88" s="25"/>
      <c r="Q88" s="25"/>
    </row>
    <row r="89" spans="1:17" outlineLevel="4" x14ac:dyDescent="0.3">
      <c r="A89" s="174" t="s">
        <v>146</v>
      </c>
      <c r="B89" s="175">
        <v>7.2222222400000003E-3</v>
      </c>
      <c r="C89" s="175">
        <v>0.30361500074999997</v>
      </c>
      <c r="D89" s="197">
        <v>4.3000000000000002E-5</v>
      </c>
      <c r="E89" s="25"/>
      <c r="F89" s="25"/>
      <c r="G89" s="25"/>
      <c r="H89" s="25"/>
      <c r="I89" s="25"/>
      <c r="J89" s="25"/>
      <c r="K89" s="25"/>
      <c r="L89" s="25"/>
      <c r="M89" s="25"/>
      <c r="N89" s="25"/>
      <c r="O89" s="25"/>
      <c r="P89" s="25"/>
      <c r="Q89" s="25"/>
    </row>
    <row r="90" spans="1:17" outlineLevel="4" x14ac:dyDescent="0.3">
      <c r="A90" s="174" t="s">
        <v>147</v>
      </c>
      <c r="B90" s="175">
        <v>0.35657922199999997</v>
      </c>
      <c r="C90" s="175">
        <v>14.99023391273</v>
      </c>
      <c r="D90" s="197">
        <v>2.147E-3</v>
      </c>
      <c r="E90" s="25"/>
      <c r="F90" s="25"/>
      <c r="G90" s="25"/>
      <c r="H90" s="25"/>
      <c r="I90" s="25"/>
      <c r="J90" s="25"/>
      <c r="K90" s="25"/>
      <c r="L90" s="25"/>
      <c r="M90" s="25"/>
      <c r="N90" s="25"/>
      <c r="O90" s="25"/>
      <c r="P90" s="25"/>
      <c r="Q90" s="25"/>
    </row>
    <row r="91" spans="1:17" outlineLevel="4" x14ac:dyDescent="0.3">
      <c r="A91" s="174" t="s">
        <v>148</v>
      </c>
      <c r="B91" s="175">
        <v>0.31541573540000001</v>
      </c>
      <c r="C91" s="175">
        <v>13.25976210098</v>
      </c>
      <c r="D91" s="197">
        <v>1.8990000000000001E-3</v>
      </c>
      <c r="E91" s="25"/>
      <c r="F91" s="25"/>
      <c r="G91" s="25"/>
      <c r="H91" s="25"/>
      <c r="I91" s="25"/>
      <c r="J91" s="25"/>
      <c r="K91" s="25"/>
      <c r="L91" s="25"/>
      <c r="M91" s="25"/>
      <c r="N91" s="25"/>
      <c r="O91" s="25"/>
      <c r="P91" s="25"/>
      <c r="Q91" s="25"/>
    </row>
    <row r="92" spans="1:17" outlineLevel="4" x14ac:dyDescent="0.3">
      <c r="A92" s="174" t="s">
        <v>149</v>
      </c>
      <c r="B92" s="175">
        <v>5.5555555199999999E-3</v>
      </c>
      <c r="C92" s="175">
        <v>0.23354999851</v>
      </c>
      <c r="D92" s="197">
        <v>3.3000000000000003E-5</v>
      </c>
      <c r="E92" s="25"/>
      <c r="F92" s="25"/>
      <c r="G92" s="25"/>
      <c r="H92" s="25"/>
      <c r="I92" s="25"/>
      <c r="J92" s="25"/>
      <c r="K92" s="25"/>
      <c r="L92" s="25"/>
      <c r="M92" s="25"/>
      <c r="N92" s="25"/>
      <c r="O92" s="25"/>
      <c r="P92" s="25"/>
      <c r="Q92" s="25"/>
    </row>
    <row r="93" spans="1:17" outlineLevel="4" x14ac:dyDescent="0.3">
      <c r="A93" s="174" t="s">
        <v>150</v>
      </c>
      <c r="B93" s="175">
        <v>7.77777776E-3</v>
      </c>
      <c r="C93" s="175">
        <v>0.32696999924999998</v>
      </c>
      <c r="D93" s="197">
        <v>4.6999999999999997E-5</v>
      </c>
      <c r="E93" s="25"/>
      <c r="F93" s="25"/>
      <c r="G93" s="25"/>
      <c r="H93" s="25"/>
      <c r="I93" s="25"/>
      <c r="J93" s="25"/>
      <c r="K93" s="25"/>
      <c r="L93" s="25"/>
      <c r="M93" s="25"/>
      <c r="N93" s="25"/>
      <c r="O93" s="25"/>
      <c r="P93" s="25"/>
      <c r="Q93" s="25"/>
    </row>
    <row r="94" spans="1:17" outlineLevel="4" x14ac:dyDescent="0.3">
      <c r="A94" s="174" t="s">
        <v>153</v>
      </c>
      <c r="B94" s="175">
        <v>0.78797958281000002</v>
      </c>
      <c r="C94" s="175">
        <v>33.125873682710001</v>
      </c>
      <c r="D94" s="197">
        <v>4.7450000000000001E-3</v>
      </c>
      <c r="E94" s="25"/>
      <c r="F94" s="25"/>
      <c r="G94" s="25"/>
      <c r="H94" s="25"/>
      <c r="I94" s="25"/>
      <c r="J94" s="25"/>
      <c r="K94" s="25"/>
      <c r="L94" s="25"/>
      <c r="M94" s="25"/>
      <c r="N94" s="25"/>
      <c r="O94" s="25"/>
      <c r="P94" s="25"/>
      <c r="Q94" s="25"/>
    </row>
    <row r="95" spans="1:17" ht="14" outlineLevel="3" x14ac:dyDescent="0.35">
      <c r="A95" s="198" t="s">
        <v>154</v>
      </c>
      <c r="B95" s="199">
        <f>SUM(B$96:B$96)</f>
        <v>2.270868E-5</v>
      </c>
      <c r="C95" s="199">
        <f>SUM(C$96:C$96)</f>
        <v>9.5465000000000003E-4</v>
      </c>
      <c r="D95" s="200">
        <f>SUM(D$96:D$96)</f>
        <v>0</v>
      </c>
      <c r="E95" s="25"/>
      <c r="F95" s="25"/>
      <c r="G95" s="25"/>
      <c r="H95" s="25"/>
      <c r="I95" s="25"/>
      <c r="J95" s="25"/>
      <c r="K95" s="25"/>
      <c r="L95" s="25"/>
      <c r="M95" s="25"/>
      <c r="N95" s="25"/>
      <c r="O95" s="25"/>
      <c r="P95" s="25"/>
      <c r="Q95" s="25"/>
    </row>
    <row r="96" spans="1:17" outlineLevel="4" x14ac:dyDescent="0.3">
      <c r="A96" s="174" t="s">
        <v>155</v>
      </c>
      <c r="B96" s="175">
        <v>2.270868E-5</v>
      </c>
      <c r="C96" s="175">
        <v>9.5465000000000003E-4</v>
      </c>
      <c r="D96" s="197">
        <v>0</v>
      </c>
      <c r="E96" s="25"/>
      <c r="F96" s="25"/>
      <c r="G96" s="25"/>
      <c r="H96" s="25"/>
      <c r="I96" s="25"/>
      <c r="J96" s="25"/>
      <c r="K96" s="25"/>
      <c r="L96" s="25"/>
      <c r="M96" s="25"/>
      <c r="N96" s="25"/>
      <c r="O96" s="25"/>
      <c r="P96" s="25"/>
      <c r="Q96" s="25"/>
    </row>
    <row r="97" spans="1:17" ht="14.5" outlineLevel="2" x14ac:dyDescent="0.35">
      <c r="A97" s="201" t="s">
        <v>95</v>
      </c>
      <c r="B97" s="202">
        <f>B$98+B$105+B$108+B$110+B$112</f>
        <v>5.2131031995800008</v>
      </c>
      <c r="C97" s="202">
        <f>C$98+C$105+C$108+C$110+C$112</f>
        <v>219.15364540834997</v>
      </c>
      <c r="D97" s="203">
        <f>D$98+D$105+D$108+D$110+D$112</f>
        <v>3.1392999999999997E-2</v>
      </c>
      <c r="E97" s="25"/>
      <c r="F97" s="25"/>
      <c r="G97" s="25"/>
      <c r="H97" s="25"/>
      <c r="I97" s="25"/>
      <c r="J97" s="25"/>
      <c r="K97" s="25"/>
      <c r="L97" s="25"/>
      <c r="M97" s="25"/>
      <c r="N97" s="25"/>
      <c r="O97" s="25"/>
      <c r="P97" s="25"/>
      <c r="Q97" s="25"/>
    </row>
    <row r="98" spans="1:17" ht="14" outlineLevel="3" x14ac:dyDescent="0.35">
      <c r="A98" s="198" t="s">
        <v>96</v>
      </c>
      <c r="B98" s="199">
        <f>SUM(B$99:B$104)</f>
        <v>3.2418873771000003</v>
      </c>
      <c r="C98" s="199">
        <f>SUM(C$99:C$104)</f>
        <v>136.28570344675998</v>
      </c>
      <c r="D98" s="200">
        <f>SUM(D$99:D$104)</f>
        <v>1.9522999999999999E-2</v>
      </c>
      <c r="E98" s="25"/>
      <c r="F98" s="25"/>
      <c r="G98" s="25"/>
      <c r="H98" s="25"/>
      <c r="I98" s="25"/>
      <c r="J98" s="25"/>
      <c r="K98" s="25"/>
      <c r="L98" s="25"/>
      <c r="M98" s="25"/>
      <c r="N98" s="25"/>
      <c r="O98" s="25"/>
      <c r="P98" s="25"/>
      <c r="Q98" s="25"/>
    </row>
    <row r="99" spans="1:17" outlineLevel="4" x14ac:dyDescent="0.3">
      <c r="A99" s="174" t="s">
        <v>156</v>
      </c>
      <c r="B99" s="175">
        <v>0.31347034895999998</v>
      </c>
      <c r="C99" s="175">
        <v>13.17798</v>
      </c>
      <c r="D99" s="197">
        <v>1.8879999999999999E-3</v>
      </c>
      <c r="E99" s="25"/>
      <c r="F99" s="25"/>
      <c r="G99" s="25"/>
      <c r="H99" s="25"/>
      <c r="I99" s="25"/>
      <c r="J99" s="25"/>
      <c r="K99" s="25"/>
      <c r="L99" s="25"/>
      <c r="M99" s="25"/>
      <c r="N99" s="25"/>
      <c r="O99" s="25"/>
      <c r="P99" s="25"/>
      <c r="Q99" s="25"/>
    </row>
    <row r="100" spans="1:17" outlineLevel="4" x14ac:dyDescent="0.3">
      <c r="A100" s="174" t="s">
        <v>99</v>
      </c>
      <c r="B100" s="175">
        <v>1.0781519687600001</v>
      </c>
      <c r="C100" s="175">
        <v>45.32443061531</v>
      </c>
      <c r="D100" s="197">
        <v>6.4929999999999996E-3</v>
      </c>
      <c r="E100" s="25"/>
      <c r="F100" s="25"/>
      <c r="G100" s="25"/>
      <c r="H100" s="25"/>
      <c r="I100" s="25"/>
      <c r="J100" s="25"/>
      <c r="K100" s="25"/>
      <c r="L100" s="25"/>
      <c r="M100" s="25"/>
      <c r="N100" s="25"/>
      <c r="O100" s="25"/>
      <c r="P100" s="25"/>
      <c r="Q100" s="25"/>
    </row>
    <row r="101" spans="1:17" outlineLevel="4" x14ac:dyDescent="0.3">
      <c r="A101" s="174" t="s">
        <v>100</v>
      </c>
      <c r="B101" s="175">
        <v>0.19232794526999999</v>
      </c>
      <c r="C101" s="175">
        <v>8.0852744912300007</v>
      </c>
      <c r="D101" s="197">
        <v>1.158E-3</v>
      </c>
      <c r="E101" s="25"/>
      <c r="F101" s="25"/>
      <c r="G101" s="25"/>
      <c r="H101" s="25"/>
      <c r="I101" s="25"/>
      <c r="J101" s="25"/>
      <c r="K101" s="25"/>
      <c r="L101" s="25"/>
      <c r="M101" s="25"/>
      <c r="N101" s="25"/>
      <c r="O101" s="25"/>
      <c r="P101" s="25"/>
      <c r="Q101" s="25"/>
    </row>
    <row r="102" spans="1:17" outlineLevel="4" x14ac:dyDescent="0.3">
      <c r="A102" s="174" t="s">
        <v>103</v>
      </c>
      <c r="B102" s="175">
        <v>0.51326692550999997</v>
      </c>
      <c r="C102" s="175">
        <v>21.577228281509999</v>
      </c>
      <c r="D102" s="197">
        <v>3.091E-3</v>
      </c>
      <c r="E102" s="25"/>
      <c r="F102" s="25"/>
      <c r="G102" s="25"/>
      <c r="H102" s="25"/>
      <c r="I102" s="25"/>
      <c r="J102" s="25"/>
      <c r="K102" s="25"/>
      <c r="L102" s="25"/>
      <c r="M102" s="25"/>
      <c r="N102" s="25"/>
      <c r="O102" s="25"/>
      <c r="P102" s="25"/>
      <c r="Q102" s="25"/>
    </row>
    <row r="103" spans="1:17" outlineLevel="4" x14ac:dyDescent="0.3">
      <c r="A103" s="174" t="s">
        <v>104</v>
      </c>
      <c r="B103" s="175">
        <v>1.1443781555999999</v>
      </c>
      <c r="C103" s="175">
        <v>48.108513283420002</v>
      </c>
      <c r="D103" s="197">
        <v>6.8910000000000004E-3</v>
      </c>
      <c r="E103" s="25"/>
      <c r="F103" s="25"/>
      <c r="G103" s="25"/>
      <c r="H103" s="25"/>
      <c r="I103" s="25"/>
      <c r="J103" s="25"/>
      <c r="K103" s="25"/>
      <c r="L103" s="25"/>
      <c r="M103" s="25"/>
      <c r="N103" s="25"/>
      <c r="O103" s="25"/>
      <c r="P103" s="25"/>
      <c r="Q103" s="25"/>
    </row>
    <row r="104" spans="1:17" outlineLevel="4" x14ac:dyDescent="0.3">
      <c r="A104" s="174" t="s">
        <v>105</v>
      </c>
      <c r="B104" s="175">
        <v>2.9203299999999997E-4</v>
      </c>
      <c r="C104" s="175">
        <v>1.227677529E-2</v>
      </c>
      <c r="D104" s="197">
        <v>1.9999999999999999E-6</v>
      </c>
      <c r="E104" s="25"/>
      <c r="F104" s="25"/>
      <c r="G104" s="25"/>
      <c r="H104" s="25"/>
      <c r="I104" s="25"/>
      <c r="J104" s="25"/>
      <c r="K104" s="25"/>
      <c r="L104" s="25"/>
      <c r="M104" s="25"/>
      <c r="N104" s="25"/>
      <c r="O104" s="25"/>
      <c r="P104" s="25"/>
      <c r="Q104" s="25"/>
    </row>
    <row r="105" spans="1:17" ht="14" outlineLevel="3" x14ac:dyDescent="0.35">
      <c r="A105" s="198" t="s">
        <v>157</v>
      </c>
      <c r="B105" s="199">
        <f>SUM(B$106:B$107)</f>
        <v>0.85779034641999996</v>
      </c>
      <c r="C105" s="199">
        <f>SUM(C$106:C$107)</f>
        <v>36.060648373310002</v>
      </c>
      <c r="D105" s="200">
        <f>SUM(D$106:D$107)</f>
        <v>5.1650000000000003E-3</v>
      </c>
      <c r="E105" s="25"/>
      <c r="F105" s="25"/>
      <c r="G105" s="25"/>
      <c r="H105" s="25"/>
      <c r="I105" s="25"/>
      <c r="J105" s="25"/>
      <c r="K105" s="25"/>
      <c r="L105" s="25"/>
      <c r="M105" s="25"/>
      <c r="N105" s="25"/>
      <c r="O105" s="25"/>
      <c r="P105" s="25"/>
      <c r="Q105" s="25"/>
    </row>
    <row r="106" spans="1:17" outlineLevel="4" x14ac:dyDescent="0.3">
      <c r="A106" s="174" t="s">
        <v>158</v>
      </c>
      <c r="B106" s="175">
        <v>0.82499999999999996</v>
      </c>
      <c r="C106" s="175">
        <v>34.682175000000001</v>
      </c>
      <c r="D106" s="197">
        <v>4.9680000000000002E-3</v>
      </c>
      <c r="E106" s="25"/>
      <c r="F106" s="25"/>
      <c r="G106" s="25"/>
      <c r="H106" s="25"/>
      <c r="I106" s="25"/>
      <c r="J106" s="25"/>
      <c r="K106" s="25"/>
      <c r="L106" s="25"/>
      <c r="M106" s="25"/>
      <c r="N106" s="25"/>
      <c r="O106" s="25"/>
      <c r="P106" s="25"/>
      <c r="Q106" s="25"/>
    </row>
    <row r="107" spans="1:17" outlineLevel="4" x14ac:dyDescent="0.3">
      <c r="A107" s="174" t="s">
        <v>111</v>
      </c>
      <c r="B107" s="175">
        <v>3.2790346419999998E-2</v>
      </c>
      <c r="C107" s="175">
        <v>1.3784733733100001</v>
      </c>
      <c r="D107" s="197">
        <v>1.9699999999999999E-4</v>
      </c>
      <c r="E107" s="25"/>
      <c r="F107" s="25"/>
      <c r="G107" s="25"/>
      <c r="H107" s="25"/>
      <c r="I107" s="25"/>
      <c r="J107" s="25"/>
      <c r="K107" s="25"/>
      <c r="L107" s="25"/>
      <c r="M107" s="25"/>
      <c r="N107" s="25"/>
      <c r="O107" s="25"/>
      <c r="P107" s="25"/>
      <c r="Q107" s="25"/>
    </row>
    <row r="108" spans="1:17" ht="14" outlineLevel="3" x14ac:dyDescent="0.35">
      <c r="A108" s="198" t="s">
        <v>119</v>
      </c>
      <c r="B108" s="199">
        <f>SUM(B$109:B$109)</f>
        <v>0.18221230804999999</v>
      </c>
      <c r="C108" s="199">
        <f>SUM(C$109:C$109)</f>
        <v>7.6600232181100001</v>
      </c>
      <c r="D108" s="200">
        <f>SUM(D$109:D$109)</f>
        <v>1.0970000000000001E-3</v>
      </c>
      <c r="E108" s="25"/>
      <c r="F108" s="25"/>
      <c r="G108" s="25"/>
      <c r="H108" s="25"/>
      <c r="I108" s="25"/>
      <c r="J108" s="25"/>
      <c r="K108" s="25"/>
      <c r="L108" s="25"/>
      <c r="M108" s="25"/>
      <c r="N108" s="25"/>
      <c r="O108" s="25"/>
      <c r="P108" s="25"/>
      <c r="Q108" s="25"/>
    </row>
    <row r="109" spans="1:17" outlineLevel="4" x14ac:dyDescent="0.3">
      <c r="A109" s="174" t="s">
        <v>159</v>
      </c>
      <c r="B109" s="175">
        <v>0.18221230804999999</v>
      </c>
      <c r="C109" s="175">
        <v>7.6600232181100001</v>
      </c>
      <c r="D109" s="197">
        <v>1.0970000000000001E-3</v>
      </c>
      <c r="E109" s="25"/>
      <c r="F109" s="25"/>
      <c r="G109" s="25"/>
      <c r="H109" s="25"/>
      <c r="I109" s="25"/>
      <c r="J109" s="25"/>
      <c r="K109" s="25"/>
      <c r="L109" s="25"/>
      <c r="M109" s="25"/>
      <c r="N109" s="25"/>
      <c r="O109" s="25"/>
      <c r="P109" s="25"/>
      <c r="Q109" s="25"/>
    </row>
    <row r="110" spans="1:17" ht="14" outlineLevel="3" x14ac:dyDescent="0.35">
      <c r="A110" s="198" t="s">
        <v>163</v>
      </c>
      <c r="B110" s="199">
        <f>SUM(B$111:B$111)</f>
        <v>0.82499999999999996</v>
      </c>
      <c r="C110" s="199">
        <f>SUM(C$111:C$111)</f>
        <v>34.682175000000001</v>
      </c>
      <c r="D110" s="200">
        <f>SUM(D$111:D$111)</f>
        <v>4.9680000000000002E-3</v>
      </c>
      <c r="E110" s="25"/>
      <c r="F110" s="25"/>
      <c r="G110" s="25"/>
      <c r="H110" s="25"/>
      <c r="I110" s="25"/>
      <c r="J110" s="25"/>
      <c r="K110" s="25"/>
      <c r="L110" s="25"/>
      <c r="M110" s="25"/>
      <c r="N110" s="25"/>
      <c r="O110" s="25"/>
      <c r="P110" s="25"/>
      <c r="Q110" s="25"/>
    </row>
    <row r="111" spans="1:17" outlineLevel="4" x14ac:dyDescent="0.3">
      <c r="A111" s="174" t="s">
        <v>165</v>
      </c>
      <c r="B111" s="175">
        <v>0.82499999999999996</v>
      </c>
      <c r="C111" s="175">
        <v>34.682175000000001</v>
      </c>
      <c r="D111" s="197">
        <v>4.9680000000000002E-3</v>
      </c>
      <c r="E111" s="25"/>
      <c r="F111" s="25"/>
      <c r="G111" s="25"/>
      <c r="H111" s="25"/>
      <c r="I111" s="25"/>
      <c r="J111" s="25"/>
      <c r="K111" s="25"/>
      <c r="L111" s="25"/>
      <c r="M111" s="25"/>
      <c r="N111" s="25"/>
      <c r="O111" s="25"/>
      <c r="P111" s="25"/>
      <c r="Q111" s="25"/>
    </row>
    <row r="112" spans="1:17" ht="14" outlineLevel="3" x14ac:dyDescent="0.35">
      <c r="A112" s="198" t="s">
        <v>137</v>
      </c>
      <c r="B112" s="199">
        <f>SUM(B$113:B$113)</f>
        <v>0.10621316801</v>
      </c>
      <c r="C112" s="199">
        <f>SUM(C$113:C$113)</f>
        <v>4.4650953701700002</v>
      </c>
      <c r="D112" s="200">
        <f>SUM(D$113:D$113)</f>
        <v>6.4000000000000005E-4</v>
      </c>
      <c r="E112" s="25"/>
      <c r="F112" s="25"/>
      <c r="G112" s="25"/>
      <c r="H112" s="25"/>
      <c r="I112" s="25"/>
      <c r="J112" s="25"/>
      <c r="K112" s="25"/>
      <c r="L112" s="25"/>
      <c r="M112" s="25"/>
      <c r="N112" s="25"/>
      <c r="O112" s="25"/>
      <c r="P112" s="25"/>
      <c r="Q112" s="25"/>
    </row>
    <row r="113" spans="1:17" outlineLevel="4" x14ac:dyDescent="0.3">
      <c r="A113" s="174" t="s">
        <v>104</v>
      </c>
      <c r="B113" s="175">
        <v>0.10621316801</v>
      </c>
      <c r="C113" s="175">
        <v>4.4650953701700002</v>
      </c>
      <c r="D113" s="197">
        <v>6.4000000000000005E-4</v>
      </c>
      <c r="E113" s="25"/>
      <c r="F113" s="25"/>
      <c r="G113" s="25"/>
      <c r="H113" s="25"/>
      <c r="I113" s="25"/>
      <c r="J113" s="25"/>
      <c r="K113" s="25"/>
      <c r="L113" s="25"/>
      <c r="M113" s="25"/>
      <c r="N113" s="25"/>
      <c r="O113" s="25"/>
      <c r="P113" s="25"/>
      <c r="Q113" s="25"/>
    </row>
    <row r="114" spans="1:17" x14ac:dyDescent="0.3">
      <c r="B114" s="24"/>
      <c r="C114" s="24"/>
      <c r="D114" s="62"/>
      <c r="E114" s="25"/>
      <c r="F114" s="25"/>
      <c r="G114" s="25"/>
      <c r="H114" s="25"/>
      <c r="I114" s="25"/>
      <c r="J114" s="25"/>
      <c r="K114" s="25"/>
      <c r="L114" s="25"/>
      <c r="M114" s="25"/>
      <c r="N114" s="25"/>
      <c r="O114" s="25"/>
      <c r="P114" s="25"/>
      <c r="Q114" s="25"/>
    </row>
    <row r="115" spans="1:17" x14ac:dyDescent="0.3">
      <c r="B115" s="24"/>
      <c r="C115" s="24"/>
      <c r="D115" s="62"/>
      <c r="E115" s="25"/>
      <c r="F115" s="25"/>
      <c r="G115" s="25"/>
      <c r="H115" s="25"/>
      <c r="I115" s="25"/>
      <c r="J115" s="25"/>
      <c r="K115" s="25"/>
      <c r="L115" s="25"/>
      <c r="M115" s="25"/>
      <c r="N115" s="25"/>
      <c r="O115" s="25"/>
      <c r="P115" s="25"/>
      <c r="Q115" s="25"/>
    </row>
    <row r="116" spans="1:17" x14ac:dyDescent="0.3">
      <c r="B116" s="24"/>
      <c r="C116" s="24"/>
      <c r="D116" s="62"/>
      <c r="E116" s="25"/>
      <c r="F116" s="25"/>
      <c r="G116" s="25"/>
      <c r="H116" s="25"/>
      <c r="I116" s="25"/>
      <c r="J116" s="25"/>
      <c r="K116" s="25"/>
      <c r="L116" s="25"/>
      <c r="M116" s="25"/>
      <c r="N116" s="25"/>
      <c r="O116" s="25"/>
      <c r="P116" s="25"/>
      <c r="Q116" s="25"/>
    </row>
    <row r="117" spans="1:17" x14ac:dyDescent="0.3">
      <c r="B117" s="24"/>
      <c r="C117" s="24"/>
      <c r="D117" s="62"/>
      <c r="E117" s="25"/>
      <c r="F117" s="25"/>
      <c r="G117" s="25"/>
      <c r="H117" s="25"/>
      <c r="I117" s="25"/>
      <c r="J117" s="25"/>
      <c r="K117" s="25"/>
      <c r="L117" s="25"/>
      <c r="M117" s="25"/>
      <c r="N117" s="25"/>
      <c r="O117" s="25"/>
      <c r="P117" s="25"/>
      <c r="Q117" s="25"/>
    </row>
    <row r="118" spans="1:17" x14ac:dyDescent="0.3">
      <c r="B118" s="24"/>
      <c r="C118" s="24"/>
      <c r="D118" s="62"/>
      <c r="E118" s="25"/>
      <c r="F118" s="25"/>
      <c r="G118" s="25"/>
      <c r="H118" s="25"/>
      <c r="I118" s="25"/>
      <c r="J118" s="25"/>
      <c r="K118" s="25"/>
      <c r="L118" s="25"/>
      <c r="M118" s="25"/>
      <c r="N118" s="25"/>
      <c r="O118" s="25"/>
      <c r="P118" s="25"/>
      <c r="Q118" s="25"/>
    </row>
    <row r="119" spans="1:17" x14ac:dyDescent="0.3">
      <c r="B119" s="24"/>
      <c r="C119" s="24"/>
      <c r="D119" s="62"/>
      <c r="E119" s="25"/>
      <c r="F119" s="25"/>
      <c r="G119" s="25"/>
      <c r="H119" s="25"/>
      <c r="I119" s="25"/>
      <c r="J119" s="25"/>
      <c r="K119" s="25"/>
      <c r="L119" s="25"/>
      <c r="M119" s="25"/>
      <c r="N119" s="25"/>
      <c r="O119" s="25"/>
      <c r="P119" s="25"/>
      <c r="Q119" s="25"/>
    </row>
    <row r="120" spans="1:17" x14ac:dyDescent="0.3">
      <c r="B120" s="24"/>
      <c r="C120" s="24"/>
      <c r="D120" s="62"/>
      <c r="E120" s="25"/>
      <c r="F120" s="25"/>
      <c r="G120" s="25"/>
      <c r="H120" s="25"/>
      <c r="I120" s="25"/>
      <c r="J120" s="25"/>
      <c r="K120" s="25"/>
      <c r="L120" s="25"/>
      <c r="M120" s="25"/>
      <c r="N120" s="25"/>
      <c r="O120" s="25"/>
      <c r="P120" s="25"/>
      <c r="Q120" s="25"/>
    </row>
    <row r="121" spans="1:17" x14ac:dyDescent="0.3">
      <c r="B121" s="24"/>
      <c r="C121" s="24"/>
      <c r="D121" s="62"/>
      <c r="E121" s="25"/>
      <c r="F121" s="25"/>
      <c r="G121" s="25"/>
      <c r="H121" s="25"/>
      <c r="I121" s="25"/>
      <c r="J121" s="25"/>
      <c r="K121" s="25"/>
      <c r="L121" s="25"/>
      <c r="M121" s="25"/>
      <c r="N121" s="25"/>
      <c r="O121" s="25"/>
      <c r="P121" s="25"/>
      <c r="Q121" s="25"/>
    </row>
    <row r="122" spans="1:17" x14ac:dyDescent="0.3">
      <c r="B122" s="24"/>
      <c r="C122" s="24"/>
      <c r="D122" s="62"/>
      <c r="E122" s="25"/>
      <c r="F122" s="25"/>
      <c r="G122" s="25"/>
      <c r="H122" s="25"/>
      <c r="I122" s="25"/>
      <c r="J122" s="25"/>
      <c r="K122" s="25"/>
      <c r="L122" s="25"/>
      <c r="M122" s="25"/>
      <c r="N122" s="25"/>
      <c r="O122" s="25"/>
      <c r="P122" s="25"/>
      <c r="Q122" s="25"/>
    </row>
    <row r="123" spans="1:17" x14ac:dyDescent="0.3">
      <c r="B123" s="24"/>
      <c r="C123" s="24"/>
      <c r="D123" s="62"/>
      <c r="E123" s="25"/>
      <c r="F123" s="25"/>
      <c r="G123" s="25"/>
      <c r="H123" s="25"/>
      <c r="I123" s="25"/>
      <c r="J123" s="25"/>
      <c r="K123" s="25"/>
      <c r="L123" s="25"/>
      <c r="M123" s="25"/>
      <c r="N123" s="25"/>
      <c r="O123" s="25"/>
      <c r="P123" s="25"/>
      <c r="Q123" s="25"/>
    </row>
    <row r="124" spans="1:17" x14ac:dyDescent="0.3">
      <c r="B124" s="24"/>
      <c r="C124" s="24"/>
      <c r="D124" s="62"/>
      <c r="E124" s="25"/>
      <c r="F124" s="25"/>
      <c r="G124" s="25"/>
      <c r="H124" s="25"/>
      <c r="I124" s="25"/>
      <c r="J124" s="25"/>
      <c r="K124" s="25"/>
      <c r="L124" s="25"/>
      <c r="M124" s="25"/>
      <c r="N124" s="25"/>
      <c r="O124" s="25"/>
      <c r="P124" s="25"/>
      <c r="Q124" s="25"/>
    </row>
    <row r="125" spans="1:17" x14ac:dyDescent="0.3">
      <c r="B125" s="24"/>
      <c r="C125" s="24"/>
      <c r="D125" s="62"/>
      <c r="E125" s="25"/>
      <c r="F125" s="25"/>
      <c r="G125" s="25"/>
      <c r="H125" s="25"/>
      <c r="I125" s="25"/>
      <c r="J125" s="25"/>
      <c r="K125" s="25"/>
      <c r="L125" s="25"/>
      <c r="M125" s="25"/>
      <c r="N125" s="25"/>
      <c r="O125" s="25"/>
      <c r="P125" s="25"/>
      <c r="Q125" s="25"/>
    </row>
    <row r="126" spans="1:17" x14ac:dyDescent="0.3">
      <c r="B126" s="24"/>
      <c r="C126" s="24"/>
      <c r="D126" s="62"/>
      <c r="E126" s="25"/>
      <c r="F126" s="25"/>
      <c r="G126" s="25"/>
      <c r="H126" s="25"/>
      <c r="I126" s="25"/>
      <c r="J126" s="25"/>
      <c r="K126" s="25"/>
      <c r="L126" s="25"/>
      <c r="M126" s="25"/>
      <c r="N126" s="25"/>
      <c r="O126" s="25"/>
      <c r="P126" s="25"/>
      <c r="Q126" s="25"/>
    </row>
    <row r="127" spans="1:17" x14ac:dyDescent="0.3">
      <c r="B127" s="24"/>
      <c r="C127" s="24"/>
      <c r="D127" s="62"/>
      <c r="E127" s="25"/>
      <c r="F127" s="25"/>
      <c r="G127" s="25"/>
      <c r="H127" s="25"/>
      <c r="I127" s="25"/>
      <c r="J127" s="25"/>
      <c r="K127" s="25"/>
      <c r="L127" s="25"/>
      <c r="M127" s="25"/>
      <c r="N127" s="25"/>
      <c r="O127" s="25"/>
      <c r="P127" s="25"/>
      <c r="Q127" s="25"/>
    </row>
    <row r="128" spans="1: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indexed="57"/>
    <outlinePr applyStyles="1" summaryBelow="0"/>
    <pageSetUpPr fitToPage="1"/>
  </sheetPr>
  <dimension ref="A1:S180"/>
  <sheetViews>
    <sheetView workbookViewId="0">
      <selection activeCell="A7" sqref="A7"/>
    </sheetView>
  </sheetViews>
  <sheetFormatPr defaultColWidth="9.1796875" defaultRowHeight="10.5" outlineLevelRow="4" x14ac:dyDescent="0.25"/>
  <cols>
    <col min="1" max="1" width="52" style="7" customWidth="1"/>
    <col min="2" max="14" width="15.1796875" style="8" customWidth="1"/>
    <col min="15" max="15" width="9.1796875" style="7" customWidth="1"/>
    <col min="16" max="16384" width="9.1796875" style="7"/>
  </cols>
  <sheetData>
    <row r="1" spans="1:19" s="21" customFormat="1" ht="13" x14ac:dyDescent="0.3">
      <c r="B1" s="22"/>
      <c r="D1" s="22"/>
      <c r="E1" s="22"/>
      <c r="F1" s="22"/>
      <c r="G1" s="22"/>
      <c r="H1" s="22"/>
      <c r="I1" s="22"/>
      <c r="J1" s="22"/>
      <c r="K1" s="22"/>
      <c r="L1" s="22"/>
      <c r="M1" s="22"/>
      <c r="N1" s="22"/>
    </row>
    <row r="2" spans="1:19" s="21" customFormat="1" ht="18.5" x14ac:dyDescent="0.3">
      <c r="A2" s="278" t="str">
        <f>DEBT_AS_OF_CURR_YEAR</f>
        <v>Державний та гарантований державою борг України за поточний рік</v>
      </c>
      <c r="B2" s="278"/>
      <c r="C2" s="278"/>
      <c r="D2" s="278"/>
      <c r="E2" s="278"/>
      <c r="F2" s="278"/>
      <c r="G2" s="278"/>
      <c r="H2" s="278"/>
      <c r="I2" s="278"/>
      <c r="J2" s="278"/>
      <c r="K2" s="278"/>
      <c r="L2" s="278"/>
      <c r="M2" s="278"/>
      <c r="N2" s="278"/>
      <c r="O2" s="6"/>
      <c r="P2" s="6"/>
      <c r="Q2" s="6"/>
      <c r="R2" s="6"/>
      <c r="S2" s="6"/>
    </row>
    <row r="3" spans="1:19" s="21" customFormat="1" ht="13" x14ac:dyDescent="0.3">
      <c r="A3" s="23"/>
      <c r="B3" s="22"/>
      <c r="C3" s="22"/>
      <c r="D3" s="22"/>
      <c r="E3" s="22"/>
      <c r="F3" s="22"/>
      <c r="G3" s="22"/>
      <c r="H3" s="22"/>
      <c r="I3" s="22"/>
      <c r="J3" s="22"/>
      <c r="K3" s="22"/>
      <c r="L3" s="22"/>
      <c r="M3" s="22"/>
      <c r="N3" s="22"/>
    </row>
    <row r="4" spans="1:19" s="26" customFormat="1" ht="13" x14ac:dyDescent="0.3">
      <c r="B4" s="27"/>
      <c r="C4" s="27"/>
      <c r="D4" s="27"/>
      <c r="E4" s="27"/>
      <c r="F4" s="27"/>
      <c r="G4" s="27"/>
      <c r="H4" s="27"/>
      <c r="I4" s="27"/>
      <c r="J4" s="27"/>
      <c r="K4" s="27"/>
      <c r="L4" s="27"/>
      <c r="M4" s="27"/>
      <c r="N4" s="27" t="str">
        <f>VALUSD</f>
        <v>млрд. дол. США</v>
      </c>
    </row>
    <row r="5" spans="1:19" s="13" customFormat="1" ht="13" x14ac:dyDescent="0.25">
      <c r="A5" s="11"/>
      <c r="B5" s="12">
        <v>45291</v>
      </c>
      <c r="C5" s="12">
        <v>45322</v>
      </c>
      <c r="D5" s="12">
        <v>45351</v>
      </c>
      <c r="E5" s="12">
        <v>45382</v>
      </c>
      <c r="F5" s="12">
        <v>45412</v>
      </c>
      <c r="G5" s="12">
        <v>45443</v>
      </c>
      <c r="H5" s="12">
        <v>45473</v>
      </c>
      <c r="I5" s="12">
        <v>45504</v>
      </c>
      <c r="J5" s="12">
        <v>45535</v>
      </c>
      <c r="K5" s="12">
        <v>45565</v>
      </c>
      <c r="L5" s="12">
        <v>45596</v>
      </c>
      <c r="M5" s="12">
        <v>45626</v>
      </c>
      <c r="N5" s="12">
        <v>45657</v>
      </c>
    </row>
    <row r="6" spans="1:19" s="30" customFormat="1" ht="31" x14ac:dyDescent="0.25">
      <c r="A6" s="140" t="str">
        <f>DEBT_TOTAL</f>
        <v>Загальна сума державного та гарантованого державою боргу</v>
      </c>
      <c r="B6" s="20">
        <f t="shared" ref="B6:N6" si="0">B$7+B$60</f>
        <v>145.32087120896</v>
      </c>
      <c r="C6" s="20">
        <f t="shared" si="0"/>
        <v>144.90037620069</v>
      </c>
      <c r="D6" s="20">
        <f t="shared" si="0"/>
        <v>143.69020185762002</v>
      </c>
      <c r="E6" s="20">
        <f t="shared" si="0"/>
        <v>151.04978486444998</v>
      </c>
      <c r="F6" s="20">
        <f t="shared" si="0"/>
        <v>151.52250144753003</v>
      </c>
      <c r="G6" s="20">
        <f t="shared" si="0"/>
        <v>150.99711427117001</v>
      </c>
      <c r="H6" s="20">
        <f t="shared" si="0"/>
        <v>152.15727108812001</v>
      </c>
      <c r="I6" s="20">
        <f t="shared" si="0"/>
        <v>155.35277600815002</v>
      </c>
      <c r="J6" s="20">
        <f t="shared" si="0"/>
        <v>154.71663418818</v>
      </c>
      <c r="K6" s="20">
        <f t="shared" si="0"/>
        <v>155.71784785976999</v>
      </c>
      <c r="L6" s="20">
        <f t="shared" si="0"/>
        <v>155.39753595201</v>
      </c>
      <c r="M6" s="20">
        <f t="shared" si="0"/>
        <v>159.77132908442999</v>
      </c>
      <c r="N6" s="20">
        <f t="shared" si="0"/>
        <v>166.05851744312002</v>
      </c>
    </row>
    <row r="7" spans="1:19" s="126" customFormat="1" ht="14.5" outlineLevel="1" x14ac:dyDescent="0.25">
      <c r="A7" s="167" t="s">
        <v>57</v>
      </c>
      <c r="B7" s="168">
        <f t="shared" ref="B7:N7" si="1">B$8+B$44</f>
        <v>43.61220733279999</v>
      </c>
      <c r="C7" s="168">
        <f t="shared" si="1"/>
        <v>44.103369133840019</v>
      </c>
      <c r="D7" s="168">
        <f t="shared" si="1"/>
        <v>43.587652036059993</v>
      </c>
      <c r="E7" s="168">
        <f t="shared" si="1"/>
        <v>42.954295940889992</v>
      </c>
      <c r="F7" s="168">
        <f t="shared" si="1"/>
        <v>43.148895382910005</v>
      </c>
      <c r="G7" s="168">
        <f t="shared" si="1"/>
        <v>42.102306473210014</v>
      </c>
      <c r="H7" s="168">
        <f t="shared" si="1"/>
        <v>42.222611865110004</v>
      </c>
      <c r="I7" s="168">
        <f t="shared" si="1"/>
        <v>42.427754671830002</v>
      </c>
      <c r="J7" s="168">
        <f t="shared" si="1"/>
        <v>42.497394439500006</v>
      </c>
      <c r="K7" s="168">
        <f t="shared" si="1"/>
        <v>43.632818339099998</v>
      </c>
      <c r="L7" s="168">
        <f t="shared" si="1"/>
        <v>44.310181039870002</v>
      </c>
      <c r="M7" s="168">
        <f t="shared" si="1"/>
        <v>45.066300409039997</v>
      </c>
      <c r="N7" s="168">
        <f t="shared" si="1"/>
        <v>45.968971226080015</v>
      </c>
    </row>
    <row r="8" spans="1:19" s="16" customFormat="1" ht="14.5" outlineLevel="2" x14ac:dyDescent="0.25">
      <c r="A8" s="169" t="s">
        <v>1</v>
      </c>
      <c r="B8" s="170">
        <f t="shared" ref="B8:N8" si="2">B$9+B$42</f>
        <v>41.80087579141999</v>
      </c>
      <c r="C8" s="170">
        <f t="shared" si="2"/>
        <v>42.314485801730022</v>
      </c>
      <c r="D8" s="170">
        <f t="shared" si="2"/>
        <v>41.834291721069995</v>
      </c>
      <c r="E8" s="170">
        <f t="shared" si="2"/>
        <v>41.247796926599989</v>
      </c>
      <c r="F8" s="170">
        <f t="shared" si="2"/>
        <v>41.430053931530004</v>
      </c>
      <c r="G8" s="170">
        <f t="shared" si="2"/>
        <v>40.402424229060017</v>
      </c>
      <c r="H8" s="170">
        <f t="shared" si="2"/>
        <v>40.520150901300006</v>
      </c>
      <c r="I8" s="170">
        <f t="shared" si="2"/>
        <v>40.733795880919999</v>
      </c>
      <c r="J8" s="170">
        <f t="shared" si="2"/>
        <v>40.797198247870007</v>
      </c>
      <c r="K8" s="170">
        <f t="shared" si="2"/>
        <v>42.000325517359997</v>
      </c>
      <c r="L8" s="170">
        <f t="shared" si="2"/>
        <v>42.708594487740001</v>
      </c>
      <c r="M8" s="170">
        <f t="shared" si="2"/>
        <v>43.465843219649997</v>
      </c>
      <c r="N8" s="170">
        <f t="shared" si="2"/>
        <v>44.319135028530013</v>
      </c>
    </row>
    <row r="9" spans="1:19" s="17" customFormat="1" ht="13" outlineLevel="3" x14ac:dyDescent="0.25">
      <c r="A9" s="171" t="s">
        <v>58</v>
      </c>
      <c r="B9" s="172">
        <f t="shared" ref="B9:N9" si="3">SUM(B$10:B$41)</f>
        <v>41.759092484669992</v>
      </c>
      <c r="C9" s="172">
        <f t="shared" si="3"/>
        <v>42.27258356988002</v>
      </c>
      <c r="D9" s="172">
        <f t="shared" si="3"/>
        <v>41.792754798659992</v>
      </c>
      <c r="E9" s="172">
        <f t="shared" si="3"/>
        <v>41.207333550219985</v>
      </c>
      <c r="F9" s="172">
        <f t="shared" si="3"/>
        <v>41.390880396170004</v>
      </c>
      <c r="G9" s="172">
        <f t="shared" si="3"/>
        <v>40.364054764800017</v>
      </c>
      <c r="H9" s="172">
        <f t="shared" si="3"/>
        <v>40.481816742240007</v>
      </c>
      <c r="I9" s="172">
        <f t="shared" si="3"/>
        <v>40.696726971069999</v>
      </c>
      <c r="J9" s="172">
        <f t="shared" si="3"/>
        <v>40.760274229500006</v>
      </c>
      <c r="K9" s="172">
        <f t="shared" si="3"/>
        <v>41.96418339956</v>
      </c>
      <c r="L9" s="172">
        <f t="shared" si="3"/>
        <v>42.672550957650003</v>
      </c>
      <c r="M9" s="172">
        <f t="shared" si="3"/>
        <v>43.43007403064</v>
      </c>
      <c r="N9" s="172">
        <f t="shared" si="3"/>
        <v>44.284529596720013</v>
      </c>
    </row>
    <row r="10" spans="1:19" s="19" customFormat="1" ht="13" outlineLevel="4" x14ac:dyDescent="0.25">
      <c r="A10" s="173" t="s">
        <v>59</v>
      </c>
      <c r="B10" s="165">
        <v>1.9851676302800001</v>
      </c>
      <c r="C10" s="165">
        <v>1.9908178832200001</v>
      </c>
      <c r="D10" s="165">
        <v>1.97346165824</v>
      </c>
      <c r="E10" s="165">
        <v>1.8714638181900001</v>
      </c>
      <c r="F10" s="165">
        <v>1.7873349080700001</v>
      </c>
      <c r="G10" s="165">
        <v>1.7506482946799999</v>
      </c>
      <c r="H10" s="165">
        <v>1.74903745675</v>
      </c>
      <c r="I10" s="165">
        <v>1.72807668216</v>
      </c>
      <c r="J10" s="165">
        <v>1.7213221380899999</v>
      </c>
      <c r="K10" s="165">
        <v>1.69219147171</v>
      </c>
      <c r="L10" s="165">
        <v>1.29921846459</v>
      </c>
      <c r="M10" s="165">
        <v>1.2893296165899999</v>
      </c>
      <c r="N10" s="165">
        <v>1.39466778468</v>
      </c>
    </row>
    <row r="11" spans="1:19" ht="13" outlineLevel="4" x14ac:dyDescent="0.3">
      <c r="A11" s="174" t="s">
        <v>60</v>
      </c>
      <c r="B11" s="175">
        <v>0.46160853447</v>
      </c>
      <c r="C11" s="175">
        <v>0.46292238071000003</v>
      </c>
      <c r="D11" s="175">
        <v>0.45888655953000002</v>
      </c>
      <c r="E11" s="175">
        <v>0.44702636826999997</v>
      </c>
      <c r="F11" s="175">
        <v>0.44198463277</v>
      </c>
      <c r="G11" s="175">
        <v>0.43291251133999997</v>
      </c>
      <c r="H11" s="175">
        <v>0.43251417210999998</v>
      </c>
      <c r="I11" s="175">
        <v>0.42733084567000001</v>
      </c>
      <c r="J11" s="175">
        <v>0.42566053495</v>
      </c>
      <c r="K11" s="175">
        <v>0.42590559293000002</v>
      </c>
      <c r="L11" s="175">
        <v>0.42474381648999998</v>
      </c>
      <c r="M11" s="175">
        <v>0.42151092903999998</v>
      </c>
      <c r="N11" s="175">
        <v>0.41706510620999998</v>
      </c>
      <c r="O11" s="10"/>
      <c r="P11" s="10"/>
      <c r="Q11" s="10"/>
    </row>
    <row r="12" spans="1:19" ht="13" outlineLevel="4" x14ac:dyDescent="0.3">
      <c r="A12" s="174" t="s">
        <v>61</v>
      </c>
      <c r="B12" s="175">
        <v>3.2715826405300001</v>
      </c>
      <c r="C12" s="175">
        <v>3.3206659245300001</v>
      </c>
      <c r="D12" s="175">
        <v>3.31054103063</v>
      </c>
      <c r="E12" s="175">
        <v>3.0223555772999999</v>
      </c>
      <c r="F12" s="175">
        <v>3.0082458247499999</v>
      </c>
      <c r="G12" s="175">
        <v>2.1435539591900001</v>
      </c>
      <c r="H12" s="175">
        <v>1.8264962308899999</v>
      </c>
      <c r="I12" s="175">
        <v>1.8227832268999999</v>
      </c>
      <c r="J12" s="175">
        <v>1.8233420894200001</v>
      </c>
      <c r="K12" s="175">
        <v>1.48495798677</v>
      </c>
      <c r="L12" s="175">
        <v>0.78086108470000004</v>
      </c>
      <c r="M12" s="175">
        <v>9.1540173559999993E-2</v>
      </c>
      <c r="N12" s="175">
        <v>9.0706825079999998E-2</v>
      </c>
      <c r="O12" s="10"/>
      <c r="P12" s="10"/>
      <c r="Q12" s="10"/>
    </row>
    <row r="13" spans="1:19" ht="13" outlineLevel="4" x14ac:dyDescent="0.3">
      <c r="A13" s="174" t="s">
        <v>62</v>
      </c>
      <c r="B13" s="175">
        <v>1.3163991743700001</v>
      </c>
      <c r="C13" s="175">
        <v>1.3201459553599999</v>
      </c>
      <c r="D13" s="175">
        <v>1.3086367407599999</v>
      </c>
      <c r="E13" s="175">
        <v>1.27481425953</v>
      </c>
      <c r="F13" s="175">
        <v>1.2604364135099999</v>
      </c>
      <c r="G13" s="175">
        <v>1.23456485291</v>
      </c>
      <c r="H13" s="175">
        <v>1.23342888299</v>
      </c>
      <c r="I13" s="175">
        <v>1.2186472527700001</v>
      </c>
      <c r="J13" s="175">
        <v>1.2138839187399999</v>
      </c>
      <c r="K13" s="175">
        <v>1.21458276652</v>
      </c>
      <c r="L13" s="175">
        <v>1.21126965286</v>
      </c>
      <c r="M13" s="175">
        <v>1.20205021685</v>
      </c>
      <c r="N13" s="175">
        <v>1.18937177385</v>
      </c>
      <c r="O13" s="10"/>
      <c r="P13" s="10"/>
      <c r="Q13" s="10"/>
    </row>
    <row r="14" spans="1:19" ht="13" outlineLevel="4" x14ac:dyDescent="0.3">
      <c r="A14" s="174" t="s">
        <v>63</v>
      </c>
      <c r="B14" s="175">
        <v>0.88725306985999997</v>
      </c>
      <c r="C14" s="175">
        <v>0.88977840030999999</v>
      </c>
      <c r="D14" s="175">
        <v>0.88202118943999996</v>
      </c>
      <c r="E14" s="175">
        <v>0.85922483642000003</v>
      </c>
      <c r="F14" s="175">
        <v>0.84953416791000003</v>
      </c>
      <c r="G14" s="175">
        <v>0.83209673553999997</v>
      </c>
      <c r="H14" s="175">
        <v>0.83133109180999998</v>
      </c>
      <c r="I14" s="175">
        <v>0.82136827274000002</v>
      </c>
      <c r="J14" s="175">
        <v>0.81815778550999996</v>
      </c>
      <c r="K14" s="175">
        <v>0.81862880892000001</v>
      </c>
      <c r="L14" s="175">
        <v>0.81639577025999999</v>
      </c>
      <c r="M14" s="175">
        <v>0.81018187019999999</v>
      </c>
      <c r="N14" s="175">
        <v>0.80163659936999998</v>
      </c>
      <c r="O14" s="10"/>
      <c r="P14" s="10"/>
      <c r="Q14" s="10"/>
    </row>
    <row r="15" spans="1:19" ht="13" outlineLevel="4" x14ac:dyDescent="0.3">
      <c r="A15" s="174" t="s">
        <v>64</v>
      </c>
      <c r="B15" s="175">
        <v>1.23478242557</v>
      </c>
      <c r="C15" s="175">
        <v>1.23829690614</v>
      </c>
      <c r="D15" s="175">
        <v>1.2275012628299999</v>
      </c>
      <c r="E15" s="175">
        <v>1.19577577542</v>
      </c>
      <c r="F15" s="175">
        <v>1.1822893558600001</v>
      </c>
      <c r="G15" s="175">
        <v>1.15802183201</v>
      </c>
      <c r="H15" s="175">
        <v>1.1569562922500001</v>
      </c>
      <c r="I15" s="175">
        <v>1.14309112309</v>
      </c>
      <c r="J15" s="175">
        <v>1.13862311577</v>
      </c>
      <c r="K15" s="175">
        <v>1.1392786349799999</v>
      </c>
      <c r="L15" s="175">
        <v>1.1361709343999999</v>
      </c>
      <c r="M15" s="175">
        <v>1.12752310343</v>
      </c>
      <c r="N15" s="175">
        <v>1.1156307239000001</v>
      </c>
      <c r="O15" s="10"/>
      <c r="P15" s="10"/>
      <c r="Q15" s="10"/>
    </row>
    <row r="16" spans="1:19" ht="13" outlineLevel="4" x14ac:dyDescent="0.3">
      <c r="A16" s="174" t="s">
        <v>65</v>
      </c>
      <c r="B16" s="175">
        <v>6.2424164086299996</v>
      </c>
      <c r="C16" s="175">
        <v>6.2601837907200002</v>
      </c>
      <c r="D16" s="175">
        <v>6.2056066447299996</v>
      </c>
      <c r="E16" s="175">
        <v>6.0452191150300001</v>
      </c>
      <c r="F16" s="175">
        <v>5.9770388063200004</v>
      </c>
      <c r="G16" s="175">
        <v>5.8543548534200003</v>
      </c>
      <c r="H16" s="175">
        <v>5.8489680393699999</v>
      </c>
      <c r="I16" s="175">
        <v>5.7788729706200002</v>
      </c>
      <c r="J16" s="175">
        <v>5.7562850539200001</v>
      </c>
      <c r="K16" s="175">
        <v>5.6891602617699997</v>
      </c>
      <c r="L16" s="175">
        <v>5.6033948739300001</v>
      </c>
      <c r="M16" s="175">
        <v>5.4213214138500003</v>
      </c>
      <c r="N16" s="175">
        <v>5.3641408454299997</v>
      </c>
      <c r="O16" s="10"/>
      <c r="P16" s="10"/>
      <c r="Q16" s="10"/>
    </row>
    <row r="17" spans="1:17" ht="13" outlineLevel="4" x14ac:dyDescent="0.3">
      <c r="A17" s="174" t="s">
        <v>66</v>
      </c>
      <c r="B17" s="175">
        <v>0.31850920426000001</v>
      </c>
      <c r="C17" s="175">
        <v>0.31941575620000001</v>
      </c>
      <c r="D17" s="175">
        <v>0.31663104557999999</v>
      </c>
      <c r="E17" s="175">
        <v>0.30844753120000001</v>
      </c>
      <c r="F17" s="175">
        <v>0.30496874118</v>
      </c>
      <c r="G17" s="175">
        <v>0.29870899084000002</v>
      </c>
      <c r="H17" s="175">
        <v>0.29843413736000002</v>
      </c>
      <c r="I17" s="175">
        <v>0.29485764982000001</v>
      </c>
      <c r="J17" s="175">
        <v>0.29370513788000002</v>
      </c>
      <c r="K17" s="175">
        <v>0.29387422751999998</v>
      </c>
      <c r="L17" s="175">
        <v>0.29307260349999997</v>
      </c>
      <c r="M17" s="175">
        <v>0.29084191597999998</v>
      </c>
      <c r="N17" s="175">
        <v>0.28777430481999999</v>
      </c>
      <c r="O17" s="10"/>
      <c r="P17" s="10"/>
      <c r="Q17" s="10"/>
    </row>
    <row r="18" spans="1:17" ht="13" outlineLevel="4" x14ac:dyDescent="0.3">
      <c r="A18" s="174" t="s">
        <v>67</v>
      </c>
      <c r="B18" s="175">
        <v>0.71342895657000005</v>
      </c>
      <c r="C18" s="175">
        <v>0.71545954280000001</v>
      </c>
      <c r="D18" s="175">
        <v>0.70922206780999997</v>
      </c>
      <c r="E18" s="175">
        <v>0.69089180907000003</v>
      </c>
      <c r="F18" s="175">
        <v>0.68309966522999999</v>
      </c>
      <c r="G18" s="175">
        <v>0.66907844672000005</v>
      </c>
      <c r="H18" s="175">
        <v>0.66846280224999999</v>
      </c>
      <c r="I18" s="175">
        <v>0.66045182566000005</v>
      </c>
      <c r="J18" s="175">
        <v>0.65787031349000002</v>
      </c>
      <c r="K18" s="175">
        <v>0.65824905747999995</v>
      </c>
      <c r="L18" s="175">
        <v>0.65645349935999997</v>
      </c>
      <c r="M18" s="175">
        <v>0.65145698103000005</v>
      </c>
      <c r="N18" s="175">
        <v>0.64458583697000005</v>
      </c>
      <c r="O18" s="10"/>
      <c r="P18" s="10"/>
      <c r="Q18" s="10"/>
    </row>
    <row r="19" spans="1:17" ht="13" outlineLevel="4" x14ac:dyDescent="0.3">
      <c r="A19" s="174" t="s">
        <v>68</v>
      </c>
      <c r="B19" s="175">
        <v>1.5088939048200001</v>
      </c>
      <c r="C19" s="175">
        <v>1.6569779117900001</v>
      </c>
      <c r="D19" s="175">
        <v>2.4148664530900001</v>
      </c>
      <c r="E19" s="175">
        <v>2.6410468793000001</v>
      </c>
      <c r="F19" s="175">
        <v>2.9967794913599999</v>
      </c>
      <c r="G19" s="175">
        <v>3.4261470139100001</v>
      </c>
      <c r="H19" s="175">
        <v>4.0629632066200001</v>
      </c>
      <c r="I19" s="175">
        <v>4.7112597467799997</v>
      </c>
      <c r="J19" s="175">
        <v>4.30832621288</v>
      </c>
      <c r="K19" s="175">
        <v>4.9056178106099999</v>
      </c>
      <c r="L19" s="175">
        <v>6.3223257650800004</v>
      </c>
      <c r="M19" s="175">
        <v>6.47033407154</v>
      </c>
      <c r="N19" s="175">
        <v>6.77509038007</v>
      </c>
      <c r="O19" s="10"/>
      <c r="P19" s="10"/>
      <c r="Q19" s="10"/>
    </row>
    <row r="20" spans="1:17" ht="13" outlineLevel="4" x14ac:dyDescent="0.3">
      <c r="A20" s="174" t="s">
        <v>69</v>
      </c>
      <c r="B20" s="175">
        <v>0.31850920426000001</v>
      </c>
      <c r="C20" s="175">
        <v>0.31941575620000001</v>
      </c>
      <c r="D20" s="175">
        <v>0.31663104557999999</v>
      </c>
      <c r="E20" s="175">
        <v>0.30844753120000001</v>
      </c>
      <c r="F20" s="175">
        <v>0.30496874118</v>
      </c>
      <c r="G20" s="175">
        <v>0.29870899084000002</v>
      </c>
      <c r="H20" s="175">
        <v>0.29843413736000002</v>
      </c>
      <c r="I20" s="175">
        <v>0.29485764982000001</v>
      </c>
      <c r="J20" s="175">
        <v>0.29370513788000002</v>
      </c>
      <c r="K20" s="175">
        <v>0.29387422751999998</v>
      </c>
      <c r="L20" s="175">
        <v>0.29307260349999997</v>
      </c>
      <c r="M20" s="175">
        <v>0.29084191597999998</v>
      </c>
      <c r="N20" s="175">
        <v>0.28777430481999999</v>
      </c>
      <c r="O20" s="10"/>
      <c r="P20" s="10"/>
      <c r="Q20" s="10"/>
    </row>
    <row r="21" spans="1:17" ht="13" outlineLevel="4" x14ac:dyDescent="0.3">
      <c r="A21" s="174" t="s">
        <v>70</v>
      </c>
      <c r="B21" s="175">
        <v>0.31850920426000001</v>
      </c>
      <c r="C21" s="175">
        <v>0.31941575620000001</v>
      </c>
      <c r="D21" s="175">
        <v>0.31663104557999999</v>
      </c>
      <c r="E21" s="175">
        <v>0.30844753120000001</v>
      </c>
      <c r="F21" s="175">
        <v>0.30496874118</v>
      </c>
      <c r="G21" s="175">
        <v>0.29870899084000002</v>
      </c>
      <c r="H21" s="175">
        <v>0.29843413736000002</v>
      </c>
      <c r="I21" s="175">
        <v>0.29485764982000001</v>
      </c>
      <c r="J21" s="175">
        <v>0.29370513788000002</v>
      </c>
      <c r="K21" s="175">
        <v>0.29387422751999998</v>
      </c>
      <c r="L21" s="175">
        <v>0.29307260349999997</v>
      </c>
      <c r="M21" s="175">
        <v>0.29084191597999998</v>
      </c>
      <c r="N21" s="175">
        <v>0.28777430481999999</v>
      </c>
      <c r="O21" s="10"/>
      <c r="P21" s="10"/>
      <c r="Q21" s="10"/>
    </row>
    <row r="22" spans="1:17" ht="13" outlineLevel="4" x14ac:dyDescent="0.3">
      <c r="A22" s="174" t="s">
        <v>71</v>
      </c>
      <c r="B22" s="175">
        <v>5.0738630260099997</v>
      </c>
      <c r="C22" s="175">
        <v>5.2896298574699996</v>
      </c>
      <c r="D22" s="175">
        <v>5.1964198577599996</v>
      </c>
      <c r="E22" s="175">
        <v>5.3634911807999996</v>
      </c>
      <c r="F22" s="175">
        <v>5.3799767323000003</v>
      </c>
      <c r="G22" s="175">
        <v>5.6152261599799997</v>
      </c>
      <c r="H22" s="175">
        <v>5.4547246987199998</v>
      </c>
      <c r="I22" s="175">
        <v>5.5658214535299999</v>
      </c>
      <c r="J22" s="175">
        <v>5.6094111934899997</v>
      </c>
      <c r="K22" s="175">
        <v>6.1006315343999997</v>
      </c>
      <c r="L22" s="175">
        <v>6.3262442888999999</v>
      </c>
      <c r="M22" s="175">
        <v>6.9993229571600004</v>
      </c>
      <c r="N22" s="175">
        <v>6.7944584315099998</v>
      </c>
      <c r="O22" s="10"/>
      <c r="P22" s="10"/>
      <c r="Q22" s="10"/>
    </row>
    <row r="23" spans="1:17" ht="13" outlineLevel="4" x14ac:dyDescent="0.3">
      <c r="A23" s="174" t="s">
        <v>72</v>
      </c>
      <c r="B23" s="175">
        <v>0.31850920426000001</v>
      </c>
      <c r="C23" s="175">
        <v>0.31941575620000001</v>
      </c>
      <c r="D23" s="175">
        <v>0.31663104557999999</v>
      </c>
      <c r="E23" s="175">
        <v>0.30844753120000001</v>
      </c>
      <c r="F23" s="175">
        <v>0.30496874118</v>
      </c>
      <c r="G23" s="175">
        <v>0.29870899084000002</v>
      </c>
      <c r="H23" s="175">
        <v>0.29843413736000002</v>
      </c>
      <c r="I23" s="175">
        <v>0.29485764982000001</v>
      </c>
      <c r="J23" s="175">
        <v>0.29370513788000002</v>
      </c>
      <c r="K23" s="175">
        <v>0.29387422751999998</v>
      </c>
      <c r="L23" s="175">
        <v>0.29307260349999997</v>
      </c>
      <c r="M23" s="175">
        <v>0.29084191597999998</v>
      </c>
      <c r="N23" s="175">
        <v>0.28777430481999999</v>
      </c>
      <c r="O23" s="10"/>
      <c r="P23" s="10"/>
      <c r="Q23" s="10"/>
    </row>
    <row r="24" spans="1:17" ht="13" outlineLevel="4" x14ac:dyDescent="0.3">
      <c r="A24" s="174" t="s">
        <v>73</v>
      </c>
      <c r="B24" s="175">
        <v>0.31850920426000001</v>
      </c>
      <c r="C24" s="175">
        <v>0.31941575620000001</v>
      </c>
      <c r="D24" s="175">
        <v>0.31663104557999999</v>
      </c>
      <c r="E24" s="175">
        <v>0.30844753120000001</v>
      </c>
      <c r="F24" s="175">
        <v>0.30496874118</v>
      </c>
      <c r="G24" s="175">
        <v>0.29870899084000002</v>
      </c>
      <c r="H24" s="175">
        <v>0.29843413736000002</v>
      </c>
      <c r="I24" s="175">
        <v>0.29485764982000001</v>
      </c>
      <c r="J24" s="175">
        <v>0.29370513788000002</v>
      </c>
      <c r="K24" s="175">
        <v>0.29387422751999998</v>
      </c>
      <c r="L24" s="175">
        <v>0.29307260349999997</v>
      </c>
      <c r="M24" s="175">
        <v>0.29084191597999998</v>
      </c>
      <c r="N24" s="175">
        <v>0.28777430481999999</v>
      </c>
      <c r="O24" s="10"/>
      <c r="P24" s="10"/>
      <c r="Q24" s="10"/>
    </row>
    <row r="25" spans="1:17" ht="13" outlineLevel="4" x14ac:dyDescent="0.3">
      <c r="A25" s="174" t="s">
        <v>74</v>
      </c>
      <c r="B25" s="175">
        <v>0.31850920426000001</v>
      </c>
      <c r="C25" s="175">
        <v>0.31941575620000001</v>
      </c>
      <c r="D25" s="175">
        <v>0.31663104557999999</v>
      </c>
      <c r="E25" s="175">
        <v>0.30844753120000001</v>
      </c>
      <c r="F25" s="175">
        <v>0.30496874118</v>
      </c>
      <c r="G25" s="175">
        <v>0.29870899084000002</v>
      </c>
      <c r="H25" s="175">
        <v>0.29843413736000002</v>
      </c>
      <c r="I25" s="175">
        <v>0.29485764982000001</v>
      </c>
      <c r="J25" s="175">
        <v>0.29370513788000002</v>
      </c>
      <c r="K25" s="175">
        <v>0.29387422751999998</v>
      </c>
      <c r="L25" s="175">
        <v>0.29307260349999997</v>
      </c>
      <c r="M25" s="175">
        <v>0.29084191597999998</v>
      </c>
      <c r="N25" s="175">
        <v>0.28777430481999999</v>
      </c>
      <c r="O25" s="10"/>
      <c r="P25" s="10"/>
      <c r="Q25" s="10"/>
    </row>
    <row r="26" spans="1:17" ht="13" outlineLevel="4" x14ac:dyDescent="0.3">
      <c r="A26" s="174" t="s">
        <v>75</v>
      </c>
      <c r="B26" s="175">
        <v>0.31850920426000001</v>
      </c>
      <c r="C26" s="175">
        <v>0.31941575620000001</v>
      </c>
      <c r="D26" s="175">
        <v>0.31663104557999999</v>
      </c>
      <c r="E26" s="175">
        <v>0.30844753120000001</v>
      </c>
      <c r="F26" s="175">
        <v>0.30496874118</v>
      </c>
      <c r="G26" s="175">
        <v>0.29870899084000002</v>
      </c>
      <c r="H26" s="175">
        <v>0.29843413736000002</v>
      </c>
      <c r="I26" s="175">
        <v>0.29485764982000001</v>
      </c>
      <c r="J26" s="175">
        <v>0.29370513788000002</v>
      </c>
      <c r="K26" s="175">
        <v>0.29387422751999998</v>
      </c>
      <c r="L26" s="175">
        <v>0.29307260349999997</v>
      </c>
      <c r="M26" s="175">
        <v>0.29084191597999998</v>
      </c>
      <c r="N26" s="175">
        <v>0.28777430481999999</v>
      </c>
      <c r="O26" s="10"/>
      <c r="P26" s="10"/>
      <c r="Q26" s="10"/>
    </row>
    <row r="27" spans="1:17" ht="13" outlineLevel="4" x14ac:dyDescent="0.3">
      <c r="A27" s="174" t="s">
        <v>76</v>
      </c>
      <c r="B27" s="175">
        <v>0.31850920426000001</v>
      </c>
      <c r="C27" s="175">
        <v>0.31941575620000001</v>
      </c>
      <c r="D27" s="175">
        <v>0.31663104557999999</v>
      </c>
      <c r="E27" s="175">
        <v>0.30844753120000001</v>
      </c>
      <c r="F27" s="175">
        <v>0.30496874118</v>
      </c>
      <c r="G27" s="175">
        <v>0.29870899084000002</v>
      </c>
      <c r="H27" s="175">
        <v>0.29843413736000002</v>
      </c>
      <c r="I27" s="175">
        <v>0.29485764982000001</v>
      </c>
      <c r="J27" s="175">
        <v>0.29370513788000002</v>
      </c>
      <c r="K27" s="175">
        <v>0.29387422751999998</v>
      </c>
      <c r="L27" s="175">
        <v>0.29307260349999997</v>
      </c>
      <c r="M27" s="175">
        <v>0.29084191597999998</v>
      </c>
      <c r="N27" s="175">
        <v>0.28777430481999999</v>
      </c>
      <c r="O27" s="10"/>
      <c r="P27" s="10"/>
      <c r="Q27" s="10"/>
    </row>
    <row r="28" spans="1:17" ht="13" outlineLevel="4" x14ac:dyDescent="0.3">
      <c r="A28" s="174" t="s">
        <v>77</v>
      </c>
      <c r="B28" s="175">
        <v>0.31850920426000001</v>
      </c>
      <c r="C28" s="175">
        <v>0.31941575620000001</v>
      </c>
      <c r="D28" s="175">
        <v>0.31663104557999999</v>
      </c>
      <c r="E28" s="175">
        <v>0.30844753120000001</v>
      </c>
      <c r="F28" s="175">
        <v>0.30496874118</v>
      </c>
      <c r="G28" s="175">
        <v>0.29870899084000002</v>
      </c>
      <c r="H28" s="175">
        <v>0.29843413736000002</v>
      </c>
      <c r="I28" s="175">
        <v>0.29485764982000001</v>
      </c>
      <c r="J28" s="175">
        <v>0.29370513788000002</v>
      </c>
      <c r="K28" s="175">
        <v>0.29387422751999998</v>
      </c>
      <c r="L28" s="175">
        <v>0.29307260349999997</v>
      </c>
      <c r="M28" s="175">
        <v>0.29084191597999998</v>
      </c>
      <c r="N28" s="175">
        <v>0.28777430481999999</v>
      </c>
      <c r="O28" s="10"/>
      <c r="P28" s="10"/>
      <c r="Q28" s="10"/>
    </row>
    <row r="29" spans="1:17" ht="13" outlineLevel="4" x14ac:dyDescent="0.3">
      <c r="A29" s="174" t="s">
        <v>78</v>
      </c>
      <c r="B29" s="175">
        <v>0.31850920426000001</v>
      </c>
      <c r="C29" s="175">
        <v>0.31941575620000001</v>
      </c>
      <c r="D29" s="175">
        <v>0.31663104557999999</v>
      </c>
      <c r="E29" s="175">
        <v>0.30844753120000001</v>
      </c>
      <c r="F29" s="175">
        <v>0.30496874118</v>
      </c>
      <c r="G29" s="175">
        <v>0.29870899084000002</v>
      </c>
      <c r="H29" s="175">
        <v>0.29843413736000002</v>
      </c>
      <c r="I29" s="175">
        <v>0.29485764982000001</v>
      </c>
      <c r="J29" s="175">
        <v>0.29370513788000002</v>
      </c>
      <c r="K29" s="175">
        <v>0.29387422751999998</v>
      </c>
      <c r="L29" s="175">
        <v>0.29307260349999997</v>
      </c>
      <c r="M29" s="175">
        <v>0.29084191597999998</v>
      </c>
      <c r="N29" s="175">
        <v>0.28777430481999999</v>
      </c>
      <c r="O29" s="10"/>
      <c r="P29" s="10"/>
      <c r="Q29" s="10"/>
    </row>
    <row r="30" spans="1:17" ht="13" outlineLevel="4" x14ac:dyDescent="0.3">
      <c r="A30" s="174" t="s">
        <v>79</v>
      </c>
      <c r="B30" s="175">
        <v>0.31850920426000001</v>
      </c>
      <c r="C30" s="175">
        <v>0.31941575620000001</v>
      </c>
      <c r="D30" s="175">
        <v>0.31663104557999999</v>
      </c>
      <c r="E30" s="175">
        <v>0.30844753120000001</v>
      </c>
      <c r="F30" s="175">
        <v>0.30496874118</v>
      </c>
      <c r="G30" s="175">
        <v>0.29870899084000002</v>
      </c>
      <c r="H30" s="175">
        <v>0.29843413736000002</v>
      </c>
      <c r="I30" s="175">
        <v>0.29485764982000001</v>
      </c>
      <c r="J30" s="175">
        <v>0.29370513788000002</v>
      </c>
      <c r="K30" s="175">
        <v>0.29387422751999998</v>
      </c>
      <c r="L30" s="175">
        <v>0.29307260349999997</v>
      </c>
      <c r="M30" s="175">
        <v>0.29084191597999998</v>
      </c>
      <c r="N30" s="175">
        <v>0.28777430481999999</v>
      </c>
      <c r="O30" s="10"/>
      <c r="P30" s="10"/>
      <c r="Q30" s="10"/>
    </row>
    <row r="31" spans="1:17" ht="13" outlineLevel="4" x14ac:dyDescent="0.3">
      <c r="A31" s="174" t="s">
        <v>80</v>
      </c>
      <c r="B31" s="175">
        <v>0.31850920426000001</v>
      </c>
      <c r="C31" s="175">
        <v>0.31941575620000001</v>
      </c>
      <c r="D31" s="175">
        <v>0.31663104557999999</v>
      </c>
      <c r="E31" s="175">
        <v>0.30844753120000001</v>
      </c>
      <c r="F31" s="175">
        <v>0.30496874118</v>
      </c>
      <c r="G31" s="175">
        <v>0.29870899084000002</v>
      </c>
      <c r="H31" s="175">
        <v>0.29843413736000002</v>
      </c>
      <c r="I31" s="175">
        <v>0.29485764982000001</v>
      </c>
      <c r="J31" s="175">
        <v>0.29370513788000002</v>
      </c>
      <c r="K31" s="175">
        <v>0.29387422751999998</v>
      </c>
      <c r="L31" s="175">
        <v>0.29307260349999997</v>
      </c>
      <c r="M31" s="175">
        <v>0.29084191597999998</v>
      </c>
      <c r="N31" s="175">
        <v>0.28777430481999999</v>
      </c>
      <c r="O31" s="10"/>
      <c r="P31" s="10"/>
      <c r="Q31" s="10"/>
    </row>
    <row r="32" spans="1:17" ht="13" outlineLevel="4" x14ac:dyDescent="0.3">
      <c r="A32" s="174" t="s">
        <v>81</v>
      </c>
      <c r="B32" s="175">
        <v>0.31850920426000001</v>
      </c>
      <c r="C32" s="175">
        <v>0.31941575620000001</v>
      </c>
      <c r="D32" s="175">
        <v>0.31663104557999999</v>
      </c>
      <c r="E32" s="175">
        <v>0.30844753120000001</v>
      </c>
      <c r="F32" s="175">
        <v>0.30496874118</v>
      </c>
      <c r="G32" s="175">
        <v>0.29870899084000002</v>
      </c>
      <c r="H32" s="175">
        <v>0.29843413736000002</v>
      </c>
      <c r="I32" s="175">
        <v>0.29485764982000001</v>
      </c>
      <c r="J32" s="175">
        <v>0.29370513788000002</v>
      </c>
      <c r="K32" s="175">
        <v>0.29387422751999998</v>
      </c>
      <c r="L32" s="175">
        <v>0.29307260349999997</v>
      </c>
      <c r="M32" s="175">
        <v>0.29084191597999998</v>
      </c>
      <c r="N32" s="175">
        <v>0.28777430481999999</v>
      </c>
      <c r="O32" s="10"/>
      <c r="P32" s="10"/>
      <c r="Q32" s="10"/>
    </row>
    <row r="33" spans="1:17" ht="13" outlineLevel="4" x14ac:dyDescent="0.3">
      <c r="A33" s="174" t="s">
        <v>83</v>
      </c>
      <c r="B33" s="175">
        <v>3.3204868307900002</v>
      </c>
      <c r="C33" s="175">
        <v>3.4160432320799998</v>
      </c>
      <c r="D33" s="175">
        <v>3.4530643038500002</v>
      </c>
      <c r="E33" s="175">
        <v>3.5222000234599999</v>
      </c>
      <c r="F33" s="175">
        <v>3.7113221725500001</v>
      </c>
      <c r="G33" s="175">
        <v>3.9808221955200001</v>
      </c>
      <c r="H33" s="175">
        <v>4.1745079112700001</v>
      </c>
      <c r="I33" s="175">
        <v>3.8750826364800002</v>
      </c>
      <c r="J33" s="175">
        <v>4.3940450011100003</v>
      </c>
      <c r="K33" s="175">
        <v>4.8755864248199998</v>
      </c>
      <c r="L33" s="175">
        <v>5.1714301219300003</v>
      </c>
      <c r="M33" s="175">
        <v>6.1198298376900002</v>
      </c>
      <c r="N33" s="175">
        <v>6.7689049215299999</v>
      </c>
      <c r="O33" s="10"/>
      <c r="P33" s="10"/>
      <c r="Q33" s="10"/>
    </row>
    <row r="34" spans="1:17" ht="13" outlineLevel="4" x14ac:dyDescent="0.3">
      <c r="A34" s="174" t="s">
        <v>84</v>
      </c>
      <c r="B34" s="175">
        <v>6.7688653429299999</v>
      </c>
      <c r="C34" s="175">
        <v>6.7881311221700003</v>
      </c>
      <c r="D34" s="175">
        <v>6.7289512585300004</v>
      </c>
      <c r="E34" s="175">
        <v>6.5550375815299997</v>
      </c>
      <c r="F34" s="175">
        <v>6.4811073437999998</v>
      </c>
      <c r="G34" s="175">
        <v>6.3480769430399997</v>
      </c>
      <c r="H34" s="175">
        <v>6.3422358365499996</v>
      </c>
      <c r="I34" s="175">
        <v>6.2662293591499996</v>
      </c>
      <c r="J34" s="175">
        <v>6.2417365094799999</v>
      </c>
      <c r="K34" s="175">
        <v>6.2453299535599998</v>
      </c>
      <c r="L34" s="175">
        <v>6.2282940720899997</v>
      </c>
      <c r="M34" s="175">
        <v>6.1808881467800001</v>
      </c>
      <c r="N34" s="175">
        <v>6.1156961631</v>
      </c>
      <c r="O34" s="10"/>
      <c r="P34" s="10"/>
      <c r="Q34" s="10"/>
    </row>
    <row r="35" spans="1:17" ht="13" outlineLevel="4" x14ac:dyDescent="0.3">
      <c r="A35" s="174" t="s">
        <v>85</v>
      </c>
      <c r="B35" s="175">
        <v>0.59342221659000005</v>
      </c>
      <c r="C35" s="175">
        <v>0.59511123551</v>
      </c>
      <c r="D35" s="175">
        <v>0.58992297363000001</v>
      </c>
      <c r="E35" s="175">
        <v>0.57467606969999996</v>
      </c>
      <c r="F35" s="175">
        <v>0.56819465170000005</v>
      </c>
      <c r="G35" s="175">
        <v>0</v>
      </c>
      <c r="H35" s="175">
        <v>0.15803384036000001</v>
      </c>
      <c r="I35" s="175">
        <v>0.21395765444000001</v>
      </c>
      <c r="J35" s="175">
        <v>0.21312135684</v>
      </c>
      <c r="K35" s="175">
        <v>0.27186737242999998</v>
      </c>
      <c r="L35" s="175">
        <v>0.27112577824</v>
      </c>
      <c r="M35" s="175">
        <v>0.26906213637999998</v>
      </c>
      <c r="N35" s="175">
        <v>0.38516142152999999</v>
      </c>
      <c r="O35" s="10"/>
      <c r="P35" s="10"/>
      <c r="Q35" s="10"/>
    </row>
    <row r="36" spans="1:17" ht="13" outlineLevel="4" x14ac:dyDescent="0.3">
      <c r="A36" s="174" t="s">
        <v>86</v>
      </c>
      <c r="B36" s="175">
        <v>1.08127016724</v>
      </c>
      <c r="C36" s="175">
        <v>1.0843477158799999</v>
      </c>
      <c r="D36" s="175">
        <v>1.07489422291</v>
      </c>
      <c r="E36" s="175">
        <v>1.0471129536399999</v>
      </c>
      <c r="F36" s="175">
        <v>1.03530321058</v>
      </c>
      <c r="G36" s="175">
        <v>1.01405270603</v>
      </c>
      <c r="H36" s="175">
        <v>1.01311963765</v>
      </c>
      <c r="I36" s="175">
        <v>1.0009782325400001</v>
      </c>
      <c r="J36" s="175">
        <v>0.99706570269000006</v>
      </c>
      <c r="K36" s="175">
        <v>0.99763972559000003</v>
      </c>
      <c r="L36" s="175">
        <v>0.99491838466000004</v>
      </c>
      <c r="M36" s="175">
        <v>0.98734568078999996</v>
      </c>
      <c r="N36" s="175">
        <v>1.09586897881</v>
      </c>
      <c r="O36" s="10"/>
      <c r="P36" s="10"/>
      <c r="Q36" s="10"/>
    </row>
    <row r="37" spans="1:17" ht="13" outlineLevel="4" x14ac:dyDescent="0.3">
      <c r="A37" s="174" t="s">
        <v>88</v>
      </c>
      <c r="B37" s="175">
        <v>1.08156427714</v>
      </c>
      <c r="C37" s="175">
        <v>1.0846426628900001</v>
      </c>
      <c r="D37" s="175">
        <v>1.07518659851</v>
      </c>
      <c r="E37" s="175">
        <v>1.0473977726599999</v>
      </c>
      <c r="F37" s="175">
        <v>1.03558481729</v>
      </c>
      <c r="G37" s="175">
        <v>1.01432853253</v>
      </c>
      <c r="H37" s="175">
        <v>1.0133952103399999</v>
      </c>
      <c r="I37" s="175">
        <v>1.00125050268</v>
      </c>
      <c r="J37" s="175">
        <v>0.99733690863000002</v>
      </c>
      <c r="K37" s="175">
        <v>0.99791108768000003</v>
      </c>
      <c r="L37" s="175">
        <v>0.99518900651999997</v>
      </c>
      <c r="M37" s="175">
        <v>0.98761424285999999</v>
      </c>
      <c r="N37" s="175">
        <v>0.97719753088000005</v>
      </c>
      <c r="O37" s="10"/>
      <c r="P37" s="10"/>
      <c r="Q37" s="10"/>
    </row>
    <row r="38" spans="1:17" ht="13" outlineLevel="4" x14ac:dyDescent="0.3">
      <c r="A38" s="174" t="s">
        <v>89</v>
      </c>
      <c r="B38" s="175">
        <v>0.46815606701000001</v>
      </c>
      <c r="C38" s="175">
        <v>0.46948854903999998</v>
      </c>
      <c r="D38" s="175">
        <v>0.46539548310000001</v>
      </c>
      <c r="E38" s="175">
        <v>0.45336706492000001</v>
      </c>
      <c r="F38" s="175">
        <v>0.44825381661000002</v>
      </c>
      <c r="G38" s="175">
        <v>0.43905301469000002</v>
      </c>
      <c r="H38" s="175">
        <v>0.43864902535</v>
      </c>
      <c r="I38" s="175">
        <v>0.43339217775</v>
      </c>
      <c r="J38" s="175">
        <v>0.43169817505000002</v>
      </c>
      <c r="K38" s="175">
        <v>0.43194670897999998</v>
      </c>
      <c r="L38" s="175">
        <v>0.43076845369</v>
      </c>
      <c r="M38" s="175">
        <v>0.42748971046000001</v>
      </c>
      <c r="N38" s="175">
        <v>0.42298082732999998</v>
      </c>
      <c r="O38" s="10"/>
      <c r="P38" s="10"/>
      <c r="Q38" s="10"/>
    </row>
    <row r="39" spans="1:17" ht="13" outlineLevel="4" x14ac:dyDescent="0.3">
      <c r="A39" s="174" t="s">
        <v>90</v>
      </c>
      <c r="B39" s="175">
        <v>6.5819958720000002E-2</v>
      </c>
      <c r="C39" s="175">
        <v>6.6007297770000001E-2</v>
      </c>
      <c r="D39" s="175">
        <v>6.5431837039999996E-2</v>
      </c>
      <c r="E39" s="175">
        <v>6.3740712980000003E-2</v>
      </c>
      <c r="F39" s="175">
        <v>6.3021820680000007E-2</v>
      </c>
      <c r="G39" s="175">
        <v>6.1728242650000001E-2</v>
      </c>
      <c r="H39" s="175">
        <v>6.1671444149999997E-2</v>
      </c>
      <c r="I39" s="175">
        <v>6.0932362640000001E-2</v>
      </c>
      <c r="J39" s="175">
        <v>6.0694195940000001E-2</v>
      </c>
      <c r="K39" s="175">
        <v>6.0729138330000001E-2</v>
      </c>
      <c r="L39" s="175">
        <v>6.0563482639999999E-2</v>
      </c>
      <c r="M39" s="175">
        <v>6.0102510839999998E-2</v>
      </c>
      <c r="N39" s="175">
        <v>5.9468588689999997E-2</v>
      </c>
      <c r="O39" s="10"/>
      <c r="P39" s="10"/>
      <c r="Q39" s="10"/>
    </row>
    <row r="40" spans="1:17" ht="13" outlineLevel="4" x14ac:dyDescent="0.3">
      <c r="A40" s="174" t="s">
        <v>91</v>
      </c>
      <c r="B40" s="175">
        <v>1.2012284124199999</v>
      </c>
      <c r="C40" s="175">
        <v>1.19429772026</v>
      </c>
      <c r="D40" s="175">
        <v>0.39259102224999998</v>
      </c>
      <c r="E40" s="175">
        <v>0.38244427785000001</v>
      </c>
      <c r="F40" s="175">
        <v>0.37813092404999998</v>
      </c>
      <c r="G40" s="175">
        <v>0.37036945589999998</v>
      </c>
      <c r="H40" s="175">
        <v>0</v>
      </c>
      <c r="I40" s="175">
        <v>0</v>
      </c>
      <c r="J40" s="175">
        <v>0</v>
      </c>
      <c r="K40" s="175">
        <v>0</v>
      </c>
      <c r="L40" s="175">
        <v>0</v>
      </c>
      <c r="M40" s="175">
        <v>0</v>
      </c>
      <c r="N40" s="175">
        <v>0</v>
      </c>
      <c r="O40" s="10"/>
      <c r="P40" s="10"/>
      <c r="Q40" s="10"/>
    </row>
    <row r="41" spans="1:17" ht="13" outlineLevel="4" x14ac:dyDescent="0.3">
      <c r="A41" s="174" t="s">
        <v>92</v>
      </c>
      <c r="B41" s="175">
        <v>0.34226378534000002</v>
      </c>
      <c r="C41" s="175">
        <v>0.27723065063000002</v>
      </c>
      <c r="D41" s="175">
        <v>0.14395004148000001</v>
      </c>
      <c r="E41" s="175">
        <v>0.14022956854999999</v>
      </c>
      <c r="F41" s="175">
        <v>0.13864800549</v>
      </c>
      <c r="G41" s="175">
        <v>0.13580213382</v>
      </c>
      <c r="H41" s="175">
        <v>0.13567717712999999</v>
      </c>
      <c r="I41" s="175">
        <v>0.13405119780999999</v>
      </c>
      <c r="J41" s="175">
        <v>0.13352723106</v>
      </c>
      <c r="K41" s="175">
        <v>0.13360410432</v>
      </c>
      <c r="L41" s="175">
        <v>0.13323966180999999</v>
      </c>
      <c r="M41" s="175">
        <v>0.13222552385</v>
      </c>
      <c r="N41" s="175">
        <v>0.13083089512000001</v>
      </c>
      <c r="O41" s="10"/>
      <c r="P41" s="10"/>
      <c r="Q41" s="10"/>
    </row>
    <row r="42" spans="1:17" ht="13" outlineLevel="3" x14ac:dyDescent="0.3">
      <c r="A42" s="176" t="s">
        <v>93</v>
      </c>
      <c r="B42" s="175">
        <f t="shared" ref="B42:N42" si="4">SUM(B$43:B$43)</f>
        <v>4.1783306749999999E-2</v>
      </c>
      <c r="C42" s="175">
        <f t="shared" si="4"/>
        <v>4.1902231849999999E-2</v>
      </c>
      <c r="D42" s="175">
        <f t="shared" si="4"/>
        <v>4.1536922410000003E-2</v>
      </c>
      <c r="E42" s="175">
        <f t="shared" si="4"/>
        <v>4.0463376379999999E-2</v>
      </c>
      <c r="F42" s="175">
        <f t="shared" si="4"/>
        <v>3.9173535359999997E-2</v>
      </c>
      <c r="G42" s="175">
        <f t="shared" si="4"/>
        <v>3.836946426E-2</v>
      </c>
      <c r="H42" s="175">
        <f t="shared" si="4"/>
        <v>3.8334159059999998E-2</v>
      </c>
      <c r="I42" s="175">
        <f t="shared" si="4"/>
        <v>3.7068909849999998E-2</v>
      </c>
      <c r="J42" s="175">
        <f t="shared" si="4"/>
        <v>3.6924018369999999E-2</v>
      </c>
      <c r="K42" s="175">
        <f t="shared" si="4"/>
        <v>3.6142117799999998E-2</v>
      </c>
      <c r="L42" s="175">
        <f t="shared" si="4"/>
        <v>3.6043530089999998E-2</v>
      </c>
      <c r="M42" s="175">
        <f t="shared" si="4"/>
        <v>3.5769189010000001E-2</v>
      </c>
      <c r="N42" s="175">
        <f t="shared" si="4"/>
        <v>3.4605431809999997E-2</v>
      </c>
      <c r="O42" s="10"/>
      <c r="P42" s="10"/>
      <c r="Q42" s="10"/>
    </row>
    <row r="43" spans="1:17" ht="13" outlineLevel="4" x14ac:dyDescent="0.3">
      <c r="A43" s="174" t="s">
        <v>94</v>
      </c>
      <c r="B43" s="175">
        <v>4.1783306749999999E-2</v>
      </c>
      <c r="C43" s="175">
        <v>4.1902231849999999E-2</v>
      </c>
      <c r="D43" s="175">
        <v>4.1536922410000003E-2</v>
      </c>
      <c r="E43" s="175">
        <v>4.0463376379999999E-2</v>
      </c>
      <c r="F43" s="175">
        <v>3.9173535359999997E-2</v>
      </c>
      <c r="G43" s="175">
        <v>3.836946426E-2</v>
      </c>
      <c r="H43" s="175">
        <v>3.8334159059999998E-2</v>
      </c>
      <c r="I43" s="175">
        <v>3.7068909849999998E-2</v>
      </c>
      <c r="J43" s="175">
        <v>3.6924018369999999E-2</v>
      </c>
      <c r="K43" s="175">
        <v>3.6142117799999998E-2</v>
      </c>
      <c r="L43" s="175">
        <v>3.6043530089999998E-2</v>
      </c>
      <c r="M43" s="175">
        <v>3.5769189010000001E-2</v>
      </c>
      <c r="N43" s="175">
        <v>3.4605431809999997E-2</v>
      </c>
      <c r="O43" s="10"/>
      <c r="P43" s="10"/>
      <c r="Q43" s="10"/>
    </row>
    <row r="44" spans="1:17" ht="14.5" outlineLevel="2" x14ac:dyDescent="0.35">
      <c r="A44" s="177" t="s">
        <v>2</v>
      </c>
      <c r="B44" s="178">
        <f t="shared" ref="B44:N44" si="5">B$45+B$50+B$58</f>
        <v>1.8113315413799997</v>
      </c>
      <c r="C44" s="178">
        <f t="shared" si="5"/>
        <v>1.7888833321100002</v>
      </c>
      <c r="D44" s="178">
        <f t="shared" si="5"/>
        <v>1.7533603149900001</v>
      </c>
      <c r="E44" s="178">
        <f t="shared" si="5"/>
        <v>1.7064990142900003</v>
      </c>
      <c r="F44" s="178">
        <f t="shared" si="5"/>
        <v>1.7188414513799999</v>
      </c>
      <c r="G44" s="178">
        <f t="shared" si="5"/>
        <v>1.6998822441500001</v>
      </c>
      <c r="H44" s="178">
        <f t="shared" si="5"/>
        <v>1.7024609638099999</v>
      </c>
      <c r="I44" s="178">
        <f t="shared" si="5"/>
        <v>1.69395879091</v>
      </c>
      <c r="J44" s="178">
        <f t="shared" si="5"/>
        <v>1.7001961916300004</v>
      </c>
      <c r="K44" s="178">
        <f t="shared" si="5"/>
        <v>1.6324928217400001</v>
      </c>
      <c r="L44" s="178">
        <f t="shared" si="5"/>
        <v>1.6015865521299999</v>
      </c>
      <c r="M44" s="178">
        <f t="shared" si="5"/>
        <v>1.6004571893900001</v>
      </c>
      <c r="N44" s="178">
        <f t="shared" si="5"/>
        <v>1.6498361975499998</v>
      </c>
      <c r="O44" s="10"/>
      <c r="P44" s="10"/>
      <c r="Q44" s="10"/>
    </row>
    <row r="45" spans="1:17" ht="13" outlineLevel="3" x14ac:dyDescent="0.3">
      <c r="A45" s="176" t="s">
        <v>58</v>
      </c>
      <c r="B45" s="175">
        <f t="shared" ref="B45:N45" si="6">SUM(B$46:B$49)</f>
        <v>0.2099659737</v>
      </c>
      <c r="C45" s="175">
        <f t="shared" si="6"/>
        <v>0.21056358614000004</v>
      </c>
      <c r="D45" s="175">
        <f t="shared" si="6"/>
        <v>0.20872786374999999</v>
      </c>
      <c r="E45" s="175">
        <f t="shared" si="6"/>
        <v>0.20333317015999999</v>
      </c>
      <c r="F45" s="175">
        <f t="shared" si="6"/>
        <v>0.20103990037000002</v>
      </c>
      <c r="G45" s="175">
        <f t="shared" si="6"/>
        <v>0.19691338046000001</v>
      </c>
      <c r="H45" s="175">
        <f t="shared" si="6"/>
        <v>0.196732193</v>
      </c>
      <c r="I45" s="175">
        <f t="shared" si="6"/>
        <v>0.19437451955999999</v>
      </c>
      <c r="J45" s="175">
        <f t="shared" si="6"/>
        <v>0.19361476665999999</v>
      </c>
      <c r="K45" s="175">
        <f t="shared" si="6"/>
        <v>0.10870543937999999</v>
      </c>
      <c r="L45" s="175">
        <f t="shared" si="6"/>
        <v>0.10840891492999999</v>
      </c>
      <c r="M45" s="175">
        <f t="shared" si="6"/>
        <v>0.10758377328</v>
      </c>
      <c r="N45" s="175">
        <f t="shared" si="6"/>
        <v>0.10644904969000001</v>
      </c>
      <c r="O45" s="10"/>
      <c r="P45" s="10"/>
      <c r="Q45" s="10"/>
    </row>
    <row r="46" spans="1:17" ht="13" outlineLevel="4" x14ac:dyDescent="0.3">
      <c r="A46" s="174" t="s">
        <v>138</v>
      </c>
      <c r="B46" s="175">
        <v>3.0540000000000002E-7</v>
      </c>
      <c r="C46" s="175">
        <v>3.0627E-7</v>
      </c>
      <c r="D46" s="175">
        <v>3.0359999999999999E-7</v>
      </c>
      <c r="E46" s="175">
        <v>2.9576E-7</v>
      </c>
      <c r="F46" s="175">
        <v>2.9242000000000002E-7</v>
      </c>
      <c r="G46" s="175">
        <v>2.8641999999999999E-7</v>
      </c>
      <c r="H46" s="175">
        <v>2.8616000000000002E-7</v>
      </c>
      <c r="I46" s="175">
        <v>2.8272999999999999E-7</v>
      </c>
      <c r="J46" s="175">
        <v>2.8162E-7</v>
      </c>
      <c r="K46" s="175">
        <v>2.8178000000000003E-7</v>
      </c>
      <c r="L46" s="175">
        <v>2.8101E-7</v>
      </c>
      <c r="M46" s="175">
        <v>2.7888000000000002E-7</v>
      </c>
      <c r="N46" s="175">
        <v>2.7593000000000001E-7</v>
      </c>
      <c r="O46" s="10"/>
      <c r="P46" s="10"/>
      <c r="Q46" s="10"/>
    </row>
    <row r="47" spans="1:17" ht="13" outlineLevel="4" x14ac:dyDescent="0.3">
      <c r="A47" s="174" t="s">
        <v>139</v>
      </c>
      <c r="B47" s="175">
        <v>6.5161759129999997E-2</v>
      </c>
      <c r="C47" s="175">
        <v>6.5347224790000005E-2</v>
      </c>
      <c r="D47" s="175">
        <v>6.4777518670000006E-2</v>
      </c>
      <c r="E47" s="175">
        <v>6.3103305849999999E-2</v>
      </c>
      <c r="F47" s="175">
        <v>6.2391602460000001E-2</v>
      </c>
      <c r="G47" s="175">
        <v>6.1110960220000003E-2</v>
      </c>
      <c r="H47" s="175">
        <v>6.1054729709999998E-2</v>
      </c>
      <c r="I47" s="175">
        <v>6.0323039019999997E-2</v>
      </c>
      <c r="J47" s="175">
        <v>6.0087253979999998E-2</v>
      </c>
      <c r="K47" s="175">
        <v>6.0121846940000001E-2</v>
      </c>
      <c r="L47" s="175">
        <v>5.9957847809999999E-2</v>
      </c>
      <c r="M47" s="175">
        <v>5.9501485729999998E-2</v>
      </c>
      <c r="N47" s="175">
        <v>5.8873902810000003E-2</v>
      </c>
      <c r="O47" s="10"/>
      <c r="P47" s="10"/>
      <c r="Q47" s="10"/>
    </row>
    <row r="48" spans="1:17" ht="13" outlineLevel="4" x14ac:dyDescent="0.3">
      <c r="A48" s="174" t="s">
        <v>143</v>
      </c>
      <c r="B48" s="175">
        <v>9.2147942199999999E-2</v>
      </c>
      <c r="C48" s="175">
        <v>9.2410216870000006E-2</v>
      </c>
      <c r="D48" s="175">
        <v>9.1604571849999997E-2</v>
      </c>
      <c r="E48" s="175">
        <v>8.9236998169999998E-2</v>
      </c>
      <c r="F48" s="175">
        <v>8.8230548950000001E-2</v>
      </c>
      <c r="G48" s="175">
        <v>8.6419539700000006E-2</v>
      </c>
      <c r="H48" s="175">
        <v>8.6340021810000001E-2</v>
      </c>
      <c r="I48" s="175">
        <v>8.5305307699999999E-2</v>
      </c>
      <c r="J48" s="175">
        <v>8.4971874310000001E-2</v>
      </c>
      <c r="K48" s="175">
        <v>0</v>
      </c>
      <c r="L48" s="175">
        <v>0</v>
      </c>
      <c r="M48" s="175">
        <v>0</v>
      </c>
      <c r="N48" s="175">
        <v>0</v>
      </c>
      <c r="O48" s="10"/>
      <c r="P48" s="10"/>
      <c r="Q48" s="10"/>
    </row>
    <row r="49" spans="1:17" ht="13" outlineLevel="4" x14ac:dyDescent="0.3">
      <c r="A49" s="174" t="s">
        <v>144</v>
      </c>
      <c r="B49" s="175">
        <v>5.2655966970000002E-2</v>
      </c>
      <c r="C49" s="175">
        <v>5.2805838209999997E-2</v>
      </c>
      <c r="D49" s="175">
        <v>5.2345469630000002E-2</v>
      </c>
      <c r="E49" s="175">
        <v>5.0992570379999998E-2</v>
      </c>
      <c r="F49" s="175">
        <v>5.0417456540000002E-2</v>
      </c>
      <c r="G49" s="175">
        <v>4.9382594119999998E-2</v>
      </c>
      <c r="H49" s="175">
        <v>4.9337155319999999E-2</v>
      </c>
      <c r="I49" s="175">
        <v>4.8745890110000002E-2</v>
      </c>
      <c r="J49" s="175">
        <v>4.8555356750000001E-2</v>
      </c>
      <c r="K49" s="175">
        <v>4.8583310659999997E-2</v>
      </c>
      <c r="L49" s="175">
        <v>4.8450786109999998E-2</v>
      </c>
      <c r="M49" s="175">
        <v>4.8082008670000002E-2</v>
      </c>
      <c r="N49" s="175">
        <v>4.7574870950000001E-2</v>
      </c>
      <c r="O49" s="10"/>
      <c r="P49" s="10"/>
      <c r="Q49" s="10"/>
    </row>
    <row r="50" spans="1:17" ht="13" outlineLevel="3" x14ac:dyDescent="0.3">
      <c r="A50" s="176" t="s">
        <v>93</v>
      </c>
      <c r="B50" s="175">
        <f t="shared" ref="B50:N50" si="7">SUM(B$51:B$57)</f>
        <v>1.6013404336699999</v>
      </c>
      <c r="C50" s="175">
        <f t="shared" si="7"/>
        <v>1.5782945404200002</v>
      </c>
      <c r="D50" s="175">
        <f t="shared" si="7"/>
        <v>1.5446074654399999</v>
      </c>
      <c r="E50" s="175">
        <f t="shared" si="7"/>
        <v>1.5031415041000002</v>
      </c>
      <c r="F50" s="175">
        <f t="shared" si="7"/>
        <v>1.5177774854999999</v>
      </c>
      <c r="G50" s="175">
        <f t="shared" si="7"/>
        <v>1.5029452921399999</v>
      </c>
      <c r="H50" s="175">
        <f t="shared" si="7"/>
        <v>1.5057052209499999</v>
      </c>
      <c r="I50" s="175">
        <f t="shared" si="7"/>
        <v>1.49956100372</v>
      </c>
      <c r="J50" s="175">
        <f t="shared" si="7"/>
        <v>1.5065582482800002</v>
      </c>
      <c r="K50" s="175">
        <f t="shared" si="7"/>
        <v>1.52376419233</v>
      </c>
      <c r="L50" s="175">
        <f t="shared" si="7"/>
        <v>1.4931545104299999</v>
      </c>
      <c r="M50" s="175">
        <f t="shared" si="7"/>
        <v>1.4928504653700001</v>
      </c>
      <c r="N50" s="175">
        <f t="shared" si="7"/>
        <v>1.5433644391799999</v>
      </c>
      <c r="O50" s="10"/>
      <c r="P50" s="10"/>
      <c r="Q50" s="10"/>
    </row>
    <row r="51" spans="1:17" ht="13" outlineLevel="4" x14ac:dyDescent="0.3">
      <c r="A51" s="174" t="s">
        <v>145</v>
      </c>
      <c r="B51" s="175">
        <v>9.436784896E-2</v>
      </c>
      <c r="C51" s="175">
        <v>9.2191521969999995E-2</v>
      </c>
      <c r="D51" s="175">
        <v>8.9452830900000002E-2</v>
      </c>
      <c r="E51" s="175">
        <v>8.5931267480000004E-2</v>
      </c>
      <c r="F51" s="175">
        <v>8.3139991390000001E-2</v>
      </c>
      <c r="G51" s="175">
        <v>7.9973536819999996E-2</v>
      </c>
      <c r="H51" s="175">
        <v>7.7677093190000004E-2</v>
      </c>
      <c r="I51" s="175">
        <v>7.4932004930000004E-2</v>
      </c>
      <c r="J51" s="175">
        <v>7.2531236449999995E-2</v>
      </c>
      <c r="K51" s="175">
        <v>7.0309710859999999E-2</v>
      </c>
      <c r="L51" s="175">
        <v>6.7963299369999994E-2</v>
      </c>
      <c r="M51" s="175">
        <v>6.544330676E-2</v>
      </c>
      <c r="N51" s="175">
        <v>6.2834343449999996E-2</v>
      </c>
      <c r="O51" s="10"/>
      <c r="P51" s="10"/>
      <c r="Q51" s="10"/>
    </row>
    <row r="52" spans="1:17" ht="13" outlineLevel="4" x14ac:dyDescent="0.3">
      <c r="A52" s="174" t="s">
        <v>146</v>
      </c>
      <c r="B52" s="175">
        <v>1.155555556E-2</v>
      </c>
      <c r="C52" s="175">
        <v>1.119444445E-2</v>
      </c>
      <c r="D52" s="175">
        <v>1.0833333339999999E-2</v>
      </c>
      <c r="E52" s="175">
        <v>1.047222223E-2</v>
      </c>
      <c r="F52" s="175">
        <v>1.011111112E-2</v>
      </c>
      <c r="G52" s="175">
        <v>9.7500000100000008E-3</v>
      </c>
      <c r="H52" s="175">
        <v>9.3888888999999996E-3</v>
      </c>
      <c r="I52" s="175">
        <v>9.0277777900000002E-3</v>
      </c>
      <c r="J52" s="175">
        <v>8.6666666800000007E-3</v>
      </c>
      <c r="K52" s="175">
        <v>8.3055555699999995E-3</v>
      </c>
      <c r="L52" s="175">
        <v>7.9444444600000001E-3</v>
      </c>
      <c r="M52" s="175">
        <v>7.5833333499999997E-3</v>
      </c>
      <c r="N52" s="175">
        <v>7.2222222400000003E-3</v>
      </c>
      <c r="O52" s="10"/>
      <c r="P52" s="10"/>
      <c r="Q52" s="10"/>
    </row>
    <row r="53" spans="1:17" ht="13" outlineLevel="4" x14ac:dyDescent="0.3">
      <c r="A53" s="174" t="s">
        <v>147</v>
      </c>
      <c r="B53" s="175">
        <v>0.29996368222999997</v>
      </c>
      <c r="C53" s="175">
        <v>0.29878887774000001</v>
      </c>
      <c r="D53" s="175">
        <v>0.31963936966000001</v>
      </c>
      <c r="E53" s="175">
        <v>0.32371517514999998</v>
      </c>
      <c r="F53" s="175">
        <v>0.33289860934999999</v>
      </c>
      <c r="G53" s="175">
        <v>0.34126420648</v>
      </c>
      <c r="H53" s="175">
        <v>0.34522244413999997</v>
      </c>
      <c r="I53" s="175">
        <v>0.34879208623000002</v>
      </c>
      <c r="J53" s="175">
        <v>0.35508335686999998</v>
      </c>
      <c r="K53" s="175">
        <v>0.35935420423999997</v>
      </c>
      <c r="L53" s="175">
        <v>0.34065890505000002</v>
      </c>
      <c r="M53" s="175">
        <v>0.33865906296999998</v>
      </c>
      <c r="N53" s="175">
        <v>0.35657922199999997</v>
      </c>
      <c r="O53" s="10"/>
      <c r="P53" s="10"/>
      <c r="Q53" s="10"/>
    </row>
    <row r="54" spans="1:17" ht="13" outlineLevel="4" x14ac:dyDescent="0.3">
      <c r="A54" s="174" t="s">
        <v>148</v>
      </c>
      <c r="B54" s="175">
        <v>0.34677464744999997</v>
      </c>
      <c r="C54" s="175">
        <v>0.34260627093000001</v>
      </c>
      <c r="D54" s="175">
        <v>0.33605784024000002</v>
      </c>
      <c r="E54" s="175">
        <v>0.32605852239999999</v>
      </c>
      <c r="F54" s="175">
        <v>0.31910300737000002</v>
      </c>
      <c r="G54" s="175">
        <v>0.31039128460999998</v>
      </c>
      <c r="H54" s="175">
        <v>0.30550671253</v>
      </c>
      <c r="I54" s="175">
        <v>0.29853466987999999</v>
      </c>
      <c r="J54" s="175">
        <v>0.29310655903999999</v>
      </c>
      <c r="K54" s="175">
        <v>0.28851377422000002</v>
      </c>
      <c r="L54" s="175">
        <v>0.28331259321000002</v>
      </c>
      <c r="M54" s="175">
        <v>0.27722356073999999</v>
      </c>
      <c r="N54" s="175">
        <v>0.31541573540000001</v>
      </c>
      <c r="O54" s="10"/>
      <c r="P54" s="10"/>
      <c r="Q54" s="10"/>
    </row>
    <row r="55" spans="1:17" ht="13" outlineLevel="4" x14ac:dyDescent="0.3">
      <c r="A55" s="174" t="s">
        <v>149</v>
      </c>
      <c r="B55" s="175">
        <v>8.8888888799999993E-3</v>
      </c>
      <c r="C55" s="175">
        <v>8.6111111000000008E-3</v>
      </c>
      <c r="D55" s="175">
        <v>8.3333333200000005E-3</v>
      </c>
      <c r="E55" s="175">
        <v>8.0555555400000003E-3</v>
      </c>
      <c r="F55" s="175">
        <v>7.77777776E-3</v>
      </c>
      <c r="G55" s="175">
        <v>7.4999999799999998E-3</v>
      </c>
      <c r="H55" s="175">
        <v>7.2222222000000004E-3</v>
      </c>
      <c r="I55" s="175">
        <v>6.9444444200000002E-3</v>
      </c>
      <c r="J55" s="175">
        <v>6.66666664E-3</v>
      </c>
      <c r="K55" s="175">
        <v>6.3888888599999997E-3</v>
      </c>
      <c r="L55" s="175">
        <v>6.1111110800000003E-3</v>
      </c>
      <c r="M55" s="175">
        <v>5.8333333000000001E-3</v>
      </c>
      <c r="N55" s="175">
        <v>5.5555555199999999E-3</v>
      </c>
      <c r="O55" s="10"/>
      <c r="P55" s="10"/>
      <c r="Q55" s="10"/>
    </row>
    <row r="56" spans="1:17" ht="13" outlineLevel="4" x14ac:dyDescent="0.3">
      <c r="A56" s="174" t="s">
        <v>150</v>
      </c>
      <c r="B56" s="175">
        <v>1.2444444440000001E-2</v>
      </c>
      <c r="C56" s="175">
        <v>1.2055555549999999E-2</v>
      </c>
      <c r="D56" s="175">
        <v>1.166666666E-2</v>
      </c>
      <c r="E56" s="175">
        <v>1.1277777770000001E-2</v>
      </c>
      <c r="F56" s="175">
        <v>1.0888888879999999E-2</v>
      </c>
      <c r="G56" s="175">
        <v>1.049999999E-2</v>
      </c>
      <c r="H56" s="175">
        <v>1.01111111E-2</v>
      </c>
      <c r="I56" s="175">
        <v>9.7222222099999991E-3</v>
      </c>
      <c r="J56" s="175">
        <v>9.3333333199999997E-3</v>
      </c>
      <c r="K56" s="175">
        <v>8.9444444300000002E-3</v>
      </c>
      <c r="L56" s="175">
        <v>8.5555555400000007E-3</v>
      </c>
      <c r="M56" s="175">
        <v>8.1666666499999995E-3</v>
      </c>
      <c r="N56" s="175">
        <v>7.77777776E-3</v>
      </c>
      <c r="O56" s="10"/>
      <c r="P56" s="10"/>
      <c r="Q56" s="10"/>
    </row>
    <row r="57" spans="1:17" ht="13" outlineLevel="4" x14ac:dyDescent="0.3">
      <c r="A57" s="174" t="s">
        <v>153</v>
      </c>
      <c r="B57" s="175">
        <v>0.82734536614999998</v>
      </c>
      <c r="C57" s="175">
        <v>0.81284675868</v>
      </c>
      <c r="D57" s="175">
        <v>0.76862409131999998</v>
      </c>
      <c r="E57" s="175">
        <v>0.73763098353000001</v>
      </c>
      <c r="F57" s="175">
        <v>0.75385809962999994</v>
      </c>
      <c r="G57" s="175">
        <v>0.74356626425000005</v>
      </c>
      <c r="H57" s="175">
        <v>0.75057674889000003</v>
      </c>
      <c r="I57" s="175">
        <v>0.75160779826000002</v>
      </c>
      <c r="J57" s="175">
        <v>0.76117042928</v>
      </c>
      <c r="K57" s="175">
        <v>0.78194761415000003</v>
      </c>
      <c r="L57" s="175">
        <v>0.77860860172000002</v>
      </c>
      <c r="M57" s="175">
        <v>0.78994120160000003</v>
      </c>
      <c r="N57" s="175">
        <v>0.78797958281000002</v>
      </c>
      <c r="O57" s="10"/>
      <c r="P57" s="10"/>
      <c r="Q57" s="10"/>
    </row>
    <row r="58" spans="1:17" ht="13" outlineLevel="3" x14ac:dyDescent="0.3">
      <c r="A58" s="176" t="s">
        <v>154</v>
      </c>
      <c r="B58" s="175">
        <f t="shared" ref="B58:N58" si="8">SUM(B$59:B$59)</f>
        <v>2.5134010000000001E-5</v>
      </c>
      <c r="C58" s="175">
        <f t="shared" si="8"/>
        <v>2.5205550000000001E-5</v>
      </c>
      <c r="D58" s="175">
        <f t="shared" si="8"/>
        <v>2.4985800000000001E-5</v>
      </c>
      <c r="E58" s="175">
        <f t="shared" si="8"/>
        <v>2.4340029999999999E-5</v>
      </c>
      <c r="F58" s="175">
        <f t="shared" si="8"/>
        <v>2.4065509999999999E-5</v>
      </c>
      <c r="G58" s="175">
        <f t="shared" si="8"/>
        <v>2.357155E-5</v>
      </c>
      <c r="H58" s="175">
        <f t="shared" si="8"/>
        <v>2.354986E-5</v>
      </c>
      <c r="I58" s="175">
        <f t="shared" si="8"/>
        <v>2.3267629999999999E-5</v>
      </c>
      <c r="J58" s="175">
        <f t="shared" si="8"/>
        <v>2.3176690000000001E-5</v>
      </c>
      <c r="K58" s="175">
        <f t="shared" si="8"/>
        <v>2.3190029999999999E-5</v>
      </c>
      <c r="L58" s="175">
        <f t="shared" si="8"/>
        <v>2.3126770000000002E-5</v>
      </c>
      <c r="M58" s="175">
        <f t="shared" si="8"/>
        <v>2.295074E-5</v>
      </c>
      <c r="N58" s="175">
        <f t="shared" si="8"/>
        <v>2.270868E-5</v>
      </c>
      <c r="O58" s="10"/>
      <c r="P58" s="10"/>
      <c r="Q58" s="10"/>
    </row>
    <row r="59" spans="1:17" ht="13" outlineLevel="4" x14ac:dyDescent="0.3">
      <c r="A59" s="174" t="s">
        <v>155</v>
      </c>
      <c r="B59" s="175">
        <v>2.5134010000000001E-5</v>
      </c>
      <c r="C59" s="175">
        <v>2.5205550000000001E-5</v>
      </c>
      <c r="D59" s="175">
        <v>2.4985800000000001E-5</v>
      </c>
      <c r="E59" s="175">
        <v>2.4340029999999999E-5</v>
      </c>
      <c r="F59" s="175">
        <v>2.4065509999999999E-5</v>
      </c>
      <c r="G59" s="175">
        <v>2.357155E-5</v>
      </c>
      <c r="H59" s="175">
        <v>2.354986E-5</v>
      </c>
      <c r="I59" s="175">
        <v>2.3267629999999999E-5</v>
      </c>
      <c r="J59" s="175">
        <v>2.3176690000000001E-5</v>
      </c>
      <c r="K59" s="175">
        <v>2.3190029999999999E-5</v>
      </c>
      <c r="L59" s="175">
        <v>2.3126770000000002E-5</v>
      </c>
      <c r="M59" s="175">
        <v>2.295074E-5</v>
      </c>
      <c r="N59" s="175">
        <v>2.270868E-5</v>
      </c>
      <c r="O59" s="10"/>
      <c r="P59" s="10"/>
      <c r="Q59" s="10"/>
    </row>
    <row r="60" spans="1:17" ht="14.5" outlineLevel="1" x14ac:dyDescent="0.35">
      <c r="A60" s="179" t="s">
        <v>95</v>
      </c>
      <c r="B60" s="180">
        <f t="shared" ref="B60:N60" si="9">B$61+B$104</f>
        <v>101.70866387616</v>
      </c>
      <c r="C60" s="180">
        <f t="shared" si="9"/>
        <v>100.79700706684999</v>
      </c>
      <c r="D60" s="180">
        <f t="shared" si="9"/>
        <v>100.10254982156002</v>
      </c>
      <c r="E60" s="180">
        <f t="shared" si="9"/>
        <v>108.09548892356</v>
      </c>
      <c r="F60" s="180">
        <f t="shared" si="9"/>
        <v>108.37360606462002</v>
      </c>
      <c r="G60" s="180">
        <f t="shared" si="9"/>
        <v>108.89480779796</v>
      </c>
      <c r="H60" s="180">
        <f t="shared" si="9"/>
        <v>109.93465922301002</v>
      </c>
      <c r="I60" s="180">
        <f t="shared" si="9"/>
        <v>112.92502133632001</v>
      </c>
      <c r="J60" s="180">
        <f t="shared" si="9"/>
        <v>112.21923974868</v>
      </c>
      <c r="K60" s="180">
        <f t="shared" si="9"/>
        <v>112.08502952066999</v>
      </c>
      <c r="L60" s="180">
        <f t="shared" si="9"/>
        <v>111.08735491214001</v>
      </c>
      <c r="M60" s="180">
        <f t="shared" si="9"/>
        <v>114.70502867539</v>
      </c>
      <c r="N60" s="180">
        <f t="shared" si="9"/>
        <v>120.08954621704001</v>
      </c>
      <c r="O60" s="10"/>
      <c r="P60" s="10"/>
      <c r="Q60" s="10"/>
    </row>
    <row r="61" spans="1:17" ht="14.5" outlineLevel="2" x14ac:dyDescent="0.35">
      <c r="A61" s="177" t="s">
        <v>1</v>
      </c>
      <c r="B61" s="178">
        <f t="shared" ref="B61:N61" si="10">B$62+B$72+B$83+B$85+B$92+B$100+B$102</f>
        <v>94.791091580989999</v>
      </c>
      <c r="C61" s="178">
        <f t="shared" si="10"/>
        <v>93.775191799489988</v>
      </c>
      <c r="D61" s="178">
        <f t="shared" si="10"/>
        <v>93.406854383140015</v>
      </c>
      <c r="E61" s="178">
        <f t="shared" si="10"/>
        <v>101.85150116397</v>
      </c>
      <c r="F61" s="178">
        <f t="shared" si="10"/>
        <v>102.24819258324001</v>
      </c>
      <c r="G61" s="178">
        <f t="shared" si="10"/>
        <v>102.75187150182001</v>
      </c>
      <c r="H61" s="178">
        <f t="shared" si="10"/>
        <v>103.79473589282001</v>
      </c>
      <c r="I61" s="178">
        <f t="shared" si="10"/>
        <v>106.72397122650001</v>
      </c>
      <c r="J61" s="178">
        <f t="shared" si="10"/>
        <v>106.80707948030999</v>
      </c>
      <c r="K61" s="178">
        <f t="shared" si="10"/>
        <v>106.7428648274</v>
      </c>
      <c r="L61" s="178">
        <f t="shared" si="10"/>
        <v>105.92688956043001</v>
      </c>
      <c r="M61" s="178">
        <f t="shared" si="10"/>
        <v>109.58967952847</v>
      </c>
      <c r="N61" s="178">
        <f t="shared" si="10"/>
        <v>114.87644301746001</v>
      </c>
      <c r="O61" s="10"/>
      <c r="P61" s="10"/>
      <c r="Q61" s="10"/>
    </row>
    <row r="62" spans="1:17" ht="13" outlineLevel="3" x14ac:dyDescent="0.3">
      <c r="A62" s="176" t="s">
        <v>96</v>
      </c>
      <c r="B62" s="175">
        <f t="shared" ref="B62:N62" si="11">SUM(B$63:B$71)</f>
        <v>59.305881467679995</v>
      </c>
      <c r="C62" s="175">
        <f t="shared" si="11"/>
        <v>58.55422823536</v>
      </c>
      <c r="D62" s="175">
        <f t="shared" si="11"/>
        <v>58.3011516292</v>
      </c>
      <c r="E62" s="175">
        <f t="shared" si="11"/>
        <v>65.132029184830003</v>
      </c>
      <c r="F62" s="175">
        <f t="shared" si="11"/>
        <v>65.65310141353001</v>
      </c>
      <c r="G62" s="175">
        <f t="shared" si="11"/>
        <v>66.104023738050003</v>
      </c>
      <c r="H62" s="175">
        <f t="shared" si="11"/>
        <v>67.293027082519998</v>
      </c>
      <c r="I62" s="175">
        <f t="shared" si="11"/>
        <v>70.12159829062</v>
      </c>
      <c r="J62" s="175">
        <f t="shared" si="11"/>
        <v>74.38001934383</v>
      </c>
      <c r="K62" s="175">
        <f t="shared" si="11"/>
        <v>74.280190770209998</v>
      </c>
      <c r="L62" s="175">
        <f t="shared" si="11"/>
        <v>73.577165132910011</v>
      </c>
      <c r="M62" s="175">
        <f t="shared" si="11"/>
        <v>77.281304718170006</v>
      </c>
      <c r="N62" s="175">
        <f t="shared" si="11"/>
        <v>82.827489272820003</v>
      </c>
      <c r="O62" s="10"/>
      <c r="P62" s="10"/>
      <c r="Q62" s="10"/>
    </row>
    <row r="63" spans="1:17" ht="13" outlineLevel="4" x14ac:dyDescent="0.3">
      <c r="A63" s="174" t="s">
        <v>97</v>
      </c>
      <c r="B63" s="175">
        <v>6.6717266900000001E-3</v>
      </c>
      <c r="C63" s="175">
        <v>6.51263676E-3</v>
      </c>
      <c r="D63" s="175">
        <v>6.4892186899999996E-3</v>
      </c>
      <c r="E63" s="175">
        <v>6.1610556400000004E-3</v>
      </c>
      <c r="F63" s="175">
        <v>1.007410053E-2</v>
      </c>
      <c r="G63" s="175">
        <v>1.017378515E-2</v>
      </c>
      <c r="H63" s="175">
        <v>1.005715913E-2</v>
      </c>
      <c r="I63" s="175">
        <v>1.018035713E-2</v>
      </c>
      <c r="J63" s="175">
        <v>1.043424771E-2</v>
      </c>
      <c r="K63" s="175">
        <v>9.94478289E-3</v>
      </c>
      <c r="L63" s="175">
        <v>9.6329720900000006E-3</v>
      </c>
      <c r="M63" s="175">
        <v>9.3942239399999999E-3</v>
      </c>
      <c r="N63" s="175">
        <v>1.146224364E-2</v>
      </c>
      <c r="O63" s="10"/>
      <c r="P63" s="10"/>
      <c r="Q63" s="10"/>
    </row>
    <row r="64" spans="1:17" ht="13" outlineLevel="4" x14ac:dyDescent="0.3">
      <c r="A64" s="174" t="s">
        <v>98</v>
      </c>
      <c r="B64" s="175">
        <v>0</v>
      </c>
      <c r="C64" s="175">
        <v>0</v>
      </c>
      <c r="D64" s="175">
        <v>0</v>
      </c>
      <c r="E64" s="175">
        <v>0</v>
      </c>
      <c r="F64" s="175">
        <v>0</v>
      </c>
      <c r="G64" s="175">
        <v>0</v>
      </c>
      <c r="H64" s="175">
        <v>0</v>
      </c>
      <c r="I64" s="175">
        <v>0</v>
      </c>
      <c r="J64" s="175">
        <v>7.7671940590000002E-2</v>
      </c>
      <c r="K64" s="175">
        <v>8.9304092660000001E-2</v>
      </c>
      <c r="L64" s="175">
        <v>8.6504033529999996E-2</v>
      </c>
      <c r="M64" s="175">
        <v>0.12211185720999999</v>
      </c>
      <c r="N64" s="175">
        <v>0.12100019522</v>
      </c>
      <c r="O64" s="10"/>
      <c r="P64" s="10"/>
      <c r="Q64" s="10"/>
    </row>
    <row r="65" spans="1:17" ht="13" outlineLevel="4" x14ac:dyDescent="0.3">
      <c r="A65" s="174" t="s">
        <v>99</v>
      </c>
      <c r="B65" s="175">
        <v>0.19374588745999999</v>
      </c>
      <c r="C65" s="175">
        <v>0.18912594107</v>
      </c>
      <c r="D65" s="175">
        <v>0.18844588405000001</v>
      </c>
      <c r="E65" s="175">
        <v>0.18729249497</v>
      </c>
      <c r="F65" s="175">
        <v>0.17599214649</v>
      </c>
      <c r="G65" s="175">
        <v>0.14981607121000001</v>
      </c>
      <c r="H65" s="175">
        <v>0.14437900123</v>
      </c>
      <c r="I65" s="175">
        <v>0.14614761251</v>
      </c>
      <c r="J65" s="175">
        <v>0.14990297849000001</v>
      </c>
      <c r="K65" s="175">
        <v>0.14973341021</v>
      </c>
      <c r="L65" s="175">
        <v>0.13519048292999999</v>
      </c>
      <c r="M65" s="175">
        <v>0.10462935176</v>
      </c>
      <c r="N65" s="175">
        <v>0.10114868791000001</v>
      </c>
      <c r="O65" s="10"/>
      <c r="P65" s="10"/>
      <c r="Q65" s="10"/>
    </row>
    <row r="66" spans="1:17" ht="13" outlineLevel="4" x14ac:dyDescent="0.3">
      <c r="A66" s="174" t="s">
        <v>100</v>
      </c>
      <c r="B66" s="175">
        <v>3.0297750091800002</v>
      </c>
      <c r="C66" s="175">
        <v>2.9575288399600002</v>
      </c>
      <c r="D66" s="175">
        <v>2.9346242883600002</v>
      </c>
      <c r="E66" s="175">
        <v>2.9319978044399999</v>
      </c>
      <c r="F66" s="175">
        <v>2.9056958390899998</v>
      </c>
      <c r="G66" s="175">
        <v>2.91931692049</v>
      </c>
      <c r="H66" s="175">
        <v>2.88520701775</v>
      </c>
      <c r="I66" s="175">
        <v>2.9205501747499998</v>
      </c>
      <c r="J66" s="175">
        <v>2.9807902723800002</v>
      </c>
      <c r="K66" s="175">
        <v>2.99715707938</v>
      </c>
      <c r="L66" s="175">
        <v>2.9090406356999998</v>
      </c>
      <c r="M66" s="175">
        <v>2.8432756979299998</v>
      </c>
      <c r="N66" s="175">
        <v>2.9522925032999998</v>
      </c>
      <c r="O66" s="10"/>
      <c r="P66" s="10"/>
      <c r="Q66" s="10"/>
    </row>
    <row r="67" spans="1:17" ht="13" outlineLevel="4" x14ac:dyDescent="0.3">
      <c r="A67" s="174" t="s">
        <v>101</v>
      </c>
      <c r="B67" s="175">
        <v>32.90407975798</v>
      </c>
      <c r="C67" s="175">
        <v>32.119469116460003</v>
      </c>
      <c r="D67" s="175">
        <v>32.00397427747</v>
      </c>
      <c r="E67" s="175">
        <v>36.845660022380002</v>
      </c>
      <c r="F67" s="175">
        <v>37.506225850050001</v>
      </c>
      <c r="G67" s="175">
        <v>37.877355142299997</v>
      </c>
      <c r="H67" s="175">
        <v>39.464505123679999</v>
      </c>
      <c r="I67" s="175">
        <v>39.947936708349999</v>
      </c>
      <c r="J67" s="175">
        <v>43.90139345339</v>
      </c>
      <c r="K67" s="175">
        <v>44.16655898162</v>
      </c>
      <c r="L67" s="175">
        <v>42.781751487999998</v>
      </c>
      <c r="M67" s="175">
        <v>41.721428274899999</v>
      </c>
      <c r="N67" s="175">
        <v>44.012826736089998</v>
      </c>
      <c r="O67" s="10"/>
      <c r="P67" s="10"/>
      <c r="Q67" s="10"/>
    </row>
    <row r="68" spans="1:17" ht="13" outlineLevel="4" x14ac:dyDescent="0.3">
      <c r="A68" s="174" t="s">
        <v>102</v>
      </c>
      <c r="B68" s="175">
        <v>1.05085771959</v>
      </c>
      <c r="C68" s="175">
        <v>1.0257996065699999</v>
      </c>
      <c r="D68" s="175">
        <v>1.0222191324800001</v>
      </c>
      <c r="E68" s="175">
        <v>1.02160526163</v>
      </c>
      <c r="F68" s="175">
        <v>1.01318733786</v>
      </c>
      <c r="G68" s="175">
        <v>1.0232129667000001</v>
      </c>
      <c r="H68" s="175">
        <v>1.0114834821100001</v>
      </c>
      <c r="I68" s="175">
        <v>1.0238739342700001</v>
      </c>
      <c r="J68" s="175">
        <v>1.0494085923400001</v>
      </c>
      <c r="K68" s="175">
        <v>1.0561220468100001</v>
      </c>
      <c r="L68" s="175">
        <v>1.0230199339099999</v>
      </c>
      <c r="M68" s="175">
        <v>5.799174217</v>
      </c>
      <c r="N68" s="175">
        <v>5.7900951672299996</v>
      </c>
      <c r="O68" s="10"/>
      <c r="P68" s="10"/>
      <c r="Q68" s="10"/>
    </row>
    <row r="69" spans="1:17" ht="13" outlineLevel="4" x14ac:dyDescent="0.3">
      <c r="A69" s="174" t="s">
        <v>103</v>
      </c>
      <c r="B69" s="175">
        <v>12.00422151197</v>
      </c>
      <c r="C69" s="175">
        <v>12.22659739455</v>
      </c>
      <c r="D69" s="175">
        <v>12.133499039749999</v>
      </c>
      <c r="E69" s="175">
        <v>13.73352210651</v>
      </c>
      <c r="F69" s="175">
        <v>13.68223845592</v>
      </c>
      <c r="G69" s="175">
        <v>13.720666894760001</v>
      </c>
      <c r="H69" s="175">
        <v>13.68825601899</v>
      </c>
      <c r="I69" s="175">
        <v>13.66530796456</v>
      </c>
      <c r="J69" s="175">
        <v>13.634345724399999</v>
      </c>
      <c r="K69" s="175">
        <v>13.61526201149</v>
      </c>
      <c r="L69" s="175">
        <v>13.54297348293</v>
      </c>
      <c r="M69" s="175">
        <v>13.734434928200001</v>
      </c>
      <c r="N69" s="175">
        <v>16.17518239755</v>
      </c>
      <c r="O69" s="10"/>
      <c r="P69" s="10"/>
      <c r="Q69" s="10"/>
    </row>
    <row r="70" spans="1:17" ht="13" outlineLevel="4" x14ac:dyDescent="0.3">
      <c r="A70" s="174" t="s">
        <v>104</v>
      </c>
      <c r="B70" s="175">
        <v>10.00235119221</v>
      </c>
      <c r="C70" s="175">
        <v>9.9144916569999992</v>
      </c>
      <c r="D70" s="175">
        <v>9.8971967454099996</v>
      </c>
      <c r="E70" s="175">
        <v>10.290480842219999</v>
      </c>
      <c r="F70" s="175">
        <v>10.242918586549999</v>
      </c>
      <c r="G70" s="175">
        <v>10.286517609000001</v>
      </c>
      <c r="H70" s="175">
        <v>9.9762031439199994</v>
      </c>
      <c r="I70" s="175">
        <v>12.29361077405</v>
      </c>
      <c r="J70" s="175">
        <v>12.46188876167</v>
      </c>
      <c r="K70" s="175">
        <v>12.0815072277</v>
      </c>
      <c r="L70" s="175">
        <v>12.97291881796</v>
      </c>
      <c r="M70" s="175">
        <v>12.83022349534</v>
      </c>
      <c r="N70" s="175">
        <v>13.54928616023</v>
      </c>
      <c r="O70" s="10"/>
      <c r="P70" s="10"/>
      <c r="Q70" s="10"/>
    </row>
    <row r="71" spans="1:17" ht="13" outlineLevel="4" x14ac:dyDescent="0.3">
      <c r="A71" s="174" t="s">
        <v>105</v>
      </c>
      <c r="B71" s="175">
        <v>0.11417866259999999</v>
      </c>
      <c r="C71" s="175">
        <v>0.11470304299</v>
      </c>
      <c r="D71" s="175">
        <v>0.11470304299</v>
      </c>
      <c r="E71" s="175">
        <v>0.11530959704</v>
      </c>
      <c r="F71" s="175">
        <v>0.11676909704000001</v>
      </c>
      <c r="G71" s="175">
        <v>0.11696434844</v>
      </c>
      <c r="H71" s="175">
        <v>0.11293613571</v>
      </c>
      <c r="I71" s="175">
        <v>0.11399076499999999</v>
      </c>
      <c r="J71" s="175">
        <v>0.11418337285999999</v>
      </c>
      <c r="K71" s="175">
        <v>0.11460113745</v>
      </c>
      <c r="L71" s="175">
        <v>0.11613328586</v>
      </c>
      <c r="M71" s="175">
        <v>0.11663267189</v>
      </c>
      <c r="N71" s="175">
        <v>0.11419518165</v>
      </c>
      <c r="O71" s="10"/>
      <c r="P71" s="10"/>
      <c r="Q71" s="10"/>
    </row>
    <row r="72" spans="1:17" ht="13" outlineLevel="3" x14ac:dyDescent="0.3">
      <c r="A72" s="176" t="s">
        <v>106</v>
      </c>
      <c r="B72" s="175">
        <f t="shared" ref="B72:N72" si="12">SUM(B$73:B$82)</f>
        <v>6.3176009658999996</v>
      </c>
      <c r="C72" s="175">
        <f t="shared" si="12"/>
        <v>6.1875184457399994</v>
      </c>
      <c r="D72" s="175">
        <f t="shared" si="12"/>
        <v>6.11926197845</v>
      </c>
      <c r="E72" s="175">
        <f t="shared" si="12"/>
        <v>7.5926592151000003</v>
      </c>
      <c r="F72" s="175">
        <f t="shared" si="12"/>
        <v>7.5252367587100002</v>
      </c>
      <c r="G72" s="175">
        <f t="shared" si="12"/>
        <v>7.5264807971300005</v>
      </c>
      <c r="H72" s="175">
        <f t="shared" si="12"/>
        <v>7.4896796997899999</v>
      </c>
      <c r="I72" s="175">
        <f t="shared" si="12"/>
        <v>7.4948920679399995</v>
      </c>
      <c r="J72" s="175">
        <f t="shared" si="12"/>
        <v>7.732883317789998</v>
      </c>
      <c r="K72" s="175">
        <f t="shared" si="12"/>
        <v>7.7422710989599999</v>
      </c>
      <c r="L72" s="175">
        <f t="shared" si="12"/>
        <v>7.7583829236500002</v>
      </c>
      <c r="M72" s="175">
        <f t="shared" si="12"/>
        <v>7.802515872079999</v>
      </c>
      <c r="N72" s="175">
        <f t="shared" si="12"/>
        <v>7.6291777373399992</v>
      </c>
      <c r="O72" s="10"/>
      <c r="P72" s="10"/>
      <c r="Q72" s="10"/>
    </row>
    <row r="73" spans="1:17" ht="13" outlineLevel="4" x14ac:dyDescent="0.3">
      <c r="A73" s="174" t="s">
        <v>107</v>
      </c>
      <c r="B73" s="175">
        <v>2.3454162970000001E-2</v>
      </c>
      <c r="C73" s="175">
        <v>2.3282403010000001E-2</v>
      </c>
      <c r="D73" s="175">
        <v>2.3207090909999999E-2</v>
      </c>
      <c r="E73" s="175">
        <v>2.3217182560000001E-2</v>
      </c>
      <c r="F73" s="175">
        <v>2.302424611E-2</v>
      </c>
      <c r="G73" s="175">
        <v>2.3351280750000002E-2</v>
      </c>
      <c r="H73" s="175">
        <v>2.322451125E-2</v>
      </c>
      <c r="I73" s="175">
        <v>2.3599329580000002E-2</v>
      </c>
      <c r="J73" s="175">
        <v>2.4220302610000001E-2</v>
      </c>
      <c r="K73" s="175">
        <v>2.4601547719999999E-2</v>
      </c>
      <c r="L73" s="175">
        <v>2.3779365149999999E-2</v>
      </c>
      <c r="M73" s="175">
        <v>2.3271387889999998E-2</v>
      </c>
      <c r="N73" s="175">
        <v>2.3139083970000002E-2</v>
      </c>
      <c r="O73" s="10"/>
      <c r="P73" s="10"/>
      <c r="Q73" s="10"/>
    </row>
    <row r="74" spans="1:17" ht="13" outlineLevel="4" x14ac:dyDescent="0.3">
      <c r="A74" s="174" t="s">
        <v>108</v>
      </c>
      <c r="B74" s="175">
        <v>0.22224977884</v>
      </c>
      <c r="C74" s="175">
        <v>0.21695014601000001</v>
      </c>
      <c r="D74" s="175">
        <v>0.21617003902000001</v>
      </c>
      <c r="E74" s="175">
        <v>0.21604022294</v>
      </c>
      <c r="F74" s="175">
        <v>0.21426007341</v>
      </c>
      <c r="G74" s="175">
        <v>0.21638020647</v>
      </c>
      <c r="H74" s="175">
        <v>0.21389975677</v>
      </c>
      <c r="I74" s="175">
        <v>0.21651998216000001</v>
      </c>
      <c r="J74" s="175">
        <v>0.22191983025000001</v>
      </c>
      <c r="K74" s="175">
        <v>0.22326023165</v>
      </c>
      <c r="L74" s="175">
        <v>0.21626008382</v>
      </c>
      <c r="M74" s="175">
        <v>0.21090019136999999</v>
      </c>
      <c r="N74" s="175">
        <v>0.20898023264000001</v>
      </c>
      <c r="O74" s="10"/>
      <c r="P74" s="10"/>
      <c r="Q74" s="10"/>
    </row>
    <row r="75" spans="1:17" ht="13" outlineLevel="4" x14ac:dyDescent="0.3">
      <c r="A75" s="174" t="s">
        <v>109</v>
      </c>
      <c r="B75" s="175">
        <v>3.6820325010000001</v>
      </c>
      <c r="C75" s="175">
        <v>3.6335086631800002</v>
      </c>
      <c r="D75" s="175">
        <v>3.5906258306100001</v>
      </c>
      <c r="E75" s="175">
        <v>5.0715584578300001</v>
      </c>
      <c r="F75" s="175">
        <v>5.0441295803199999</v>
      </c>
      <c r="G75" s="175">
        <v>5.0259857078800003</v>
      </c>
      <c r="H75" s="175">
        <v>5.0298681040400002</v>
      </c>
      <c r="I75" s="175">
        <v>4.9763086688699998</v>
      </c>
      <c r="J75" s="175">
        <v>5.1108297168899997</v>
      </c>
      <c r="K75" s="175">
        <v>5.10558653939</v>
      </c>
      <c r="L75" s="175">
        <v>5.2370744740999999</v>
      </c>
      <c r="M75" s="175">
        <v>5.2101017491699997</v>
      </c>
      <c r="N75" s="175">
        <v>5.0846934205799998</v>
      </c>
      <c r="O75" s="10"/>
      <c r="P75" s="10"/>
      <c r="Q75" s="10"/>
    </row>
    <row r="76" spans="1:17" ht="13" outlineLevel="4" x14ac:dyDescent="0.3">
      <c r="A76" s="174" t="s">
        <v>110</v>
      </c>
      <c r="B76" s="175">
        <v>0.22224977884</v>
      </c>
      <c r="C76" s="175">
        <v>0.21695014601000001</v>
      </c>
      <c r="D76" s="175">
        <v>0.21617003902000001</v>
      </c>
      <c r="E76" s="175">
        <v>0.21604022294</v>
      </c>
      <c r="F76" s="175">
        <v>0.21426007341</v>
      </c>
      <c r="G76" s="175">
        <v>0.21638020647</v>
      </c>
      <c r="H76" s="175">
        <v>0.21389975677</v>
      </c>
      <c r="I76" s="175">
        <v>0.21651998216000001</v>
      </c>
      <c r="J76" s="175">
        <v>0.22191983025000001</v>
      </c>
      <c r="K76" s="175">
        <v>0.22326023165</v>
      </c>
      <c r="L76" s="175">
        <v>0.21626008382</v>
      </c>
      <c r="M76" s="175">
        <v>0.21090019136999999</v>
      </c>
      <c r="N76" s="175">
        <v>0.20898023264000001</v>
      </c>
      <c r="O76" s="10"/>
      <c r="P76" s="10"/>
      <c r="Q76" s="10"/>
    </row>
    <row r="77" spans="1:17" ht="13" outlineLevel="4" x14ac:dyDescent="0.3">
      <c r="A77" s="174" t="s">
        <v>111</v>
      </c>
      <c r="B77" s="175">
        <v>0.62447708832000004</v>
      </c>
      <c r="C77" s="175">
        <v>0.60958618811999998</v>
      </c>
      <c r="D77" s="175">
        <v>0.60739424471000003</v>
      </c>
      <c r="E77" s="175">
        <v>0.60711617068000001</v>
      </c>
      <c r="F77" s="175">
        <v>0.60211359498999995</v>
      </c>
      <c r="G77" s="175">
        <v>0.60807159227999996</v>
      </c>
      <c r="H77" s="175">
        <v>0.60110103328999998</v>
      </c>
      <c r="I77" s="175">
        <v>0.60846438989999996</v>
      </c>
      <c r="J77" s="175">
        <v>0.62381732079999996</v>
      </c>
      <c r="K77" s="175">
        <v>0.62758519319999995</v>
      </c>
      <c r="L77" s="175">
        <v>0.60790775628000004</v>
      </c>
      <c r="M77" s="175">
        <v>0.59284108222999998</v>
      </c>
      <c r="N77" s="175">
        <v>0.58744407237999996</v>
      </c>
      <c r="O77" s="10"/>
      <c r="P77" s="10"/>
      <c r="Q77" s="10"/>
    </row>
    <row r="78" spans="1:17" ht="13" outlineLevel="4" x14ac:dyDescent="0.3">
      <c r="A78" s="174" t="s">
        <v>112</v>
      </c>
      <c r="B78" s="175">
        <v>9.6949115109999998E-2</v>
      </c>
      <c r="C78" s="175">
        <v>9.463732557E-2</v>
      </c>
      <c r="D78" s="175">
        <v>9.4494067759999995E-2</v>
      </c>
      <c r="E78" s="175">
        <v>9.4534723880000004E-2</v>
      </c>
      <c r="F78" s="175">
        <v>9.3755767340000004E-2</v>
      </c>
      <c r="G78" s="175">
        <v>0.10037379502</v>
      </c>
      <c r="H78" s="175">
        <v>9.922317152E-2</v>
      </c>
      <c r="I78" s="175">
        <v>0.10633438135000001</v>
      </c>
      <c r="J78" s="175">
        <v>0.10975806808000001</v>
      </c>
      <c r="K78" s="175">
        <v>0.11029888784</v>
      </c>
      <c r="L78" s="175">
        <v>0.10691543169999999</v>
      </c>
      <c r="M78" s="175">
        <v>0.10426558895</v>
      </c>
      <c r="N78" s="175">
        <v>0.10378189140999999</v>
      </c>
      <c r="O78" s="10"/>
      <c r="P78" s="10"/>
      <c r="Q78" s="10"/>
    </row>
    <row r="79" spans="1:17" ht="13" outlineLevel="4" x14ac:dyDescent="0.3">
      <c r="A79" s="174" t="s">
        <v>113</v>
      </c>
      <c r="B79" s="175">
        <v>0</v>
      </c>
      <c r="C79" s="175">
        <v>0</v>
      </c>
      <c r="D79" s="175">
        <v>0</v>
      </c>
      <c r="E79" s="175">
        <v>0</v>
      </c>
      <c r="F79" s="175">
        <v>0</v>
      </c>
      <c r="G79" s="175">
        <v>0</v>
      </c>
      <c r="H79" s="175">
        <v>0</v>
      </c>
      <c r="I79" s="175">
        <v>0</v>
      </c>
      <c r="J79" s="175">
        <v>0</v>
      </c>
      <c r="K79" s="175">
        <v>0</v>
      </c>
      <c r="L79" s="175">
        <v>0</v>
      </c>
      <c r="M79" s="175">
        <v>0.1</v>
      </c>
      <c r="N79" s="175">
        <v>0.1</v>
      </c>
      <c r="O79" s="10"/>
      <c r="P79" s="10"/>
      <c r="Q79" s="10"/>
    </row>
    <row r="80" spans="1:17" ht="13" outlineLevel="4" x14ac:dyDescent="0.3">
      <c r="A80" s="174" t="s">
        <v>114</v>
      </c>
      <c r="B80" s="175">
        <v>4.7255449999999998E-4</v>
      </c>
      <c r="C80" s="175">
        <v>4.7255449999999998E-4</v>
      </c>
      <c r="D80" s="175">
        <v>4.7255449999999998E-4</v>
      </c>
      <c r="E80" s="175">
        <v>4.7255449999999998E-4</v>
      </c>
      <c r="F80" s="175">
        <v>4.7255449999999998E-4</v>
      </c>
      <c r="G80" s="175">
        <v>4.7255449999999998E-4</v>
      </c>
      <c r="H80" s="175">
        <v>4.7255449999999998E-4</v>
      </c>
      <c r="I80" s="175">
        <v>4.7255449999999998E-4</v>
      </c>
      <c r="J80" s="175">
        <v>4.7255449999999998E-4</v>
      </c>
      <c r="K80" s="175">
        <v>4.7255449999999998E-4</v>
      </c>
      <c r="L80" s="175">
        <v>4.7255449999999998E-4</v>
      </c>
      <c r="M80" s="175">
        <v>4.7255449999999998E-4</v>
      </c>
      <c r="N80" s="175">
        <v>5.1251526E-4</v>
      </c>
      <c r="O80" s="10"/>
      <c r="P80" s="10"/>
      <c r="Q80" s="10"/>
    </row>
    <row r="81" spans="1:17" ht="13" outlineLevel="4" x14ac:dyDescent="0.3">
      <c r="A81" s="174" t="s">
        <v>115</v>
      </c>
      <c r="B81" s="175">
        <v>0.4994446609</v>
      </c>
      <c r="C81" s="175">
        <v>0.48753520775999998</v>
      </c>
      <c r="D81" s="175">
        <v>0.48578213394999997</v>
      </c>
      <c r="E81" s="175">
        <v>0.48167919678999999</v>
      </c>
      <c r="F81" s="175">
        <v>0.47972653660999998</v>
      </c>
      <c r="G81" s="175">
        <v>0.48447349704999998</v>
      </c>
      <c r="H81" s="175">
        <v>0.47722594792</v>
      </c>
      <c r="I81" s="175">
        <v>0.48549150555999998</v>
      </c>
      <c r="J81" s="175">
        <v>0.49759930437</v>
      </c>
      <c r="K81" s="175">
        <v>0.4954515806</v>
      </c>
      <c r="L81" s="175">
        <v>0.47991708849999998</v>
      </c>
      <c r="M81" s="175">
        <v>0.47100463383000002</v>
      </c>
      <c r="N81" s="175">
        <v>0.46506189307000001</v>
      </c>
      <c r="O81" s="10"/>
      <c r="P81" s="10"/>
      <c r="Q81" s="10"/>
    </row>
    <row r="82" spans="1:17" ht="13" outlineLevel="4" x14ac:dyDescent="0.3">
      <c r="A82" s="174" t="s">
        <v>116</v>
      </c>
      <c r="B82" s="175">
        <v>0.94627132542000003</v>
      </c>
      <c r="C82" s="175">
        <v>0.90459581158000002</v>
      </c>
      <c r="D82" s="175">
        <v>0.88494597796999996</v>
      </c>
      <c r="E82" s="175">
        <v>0.88200048298</v>
      </c>
      <c r="F82" s="175">
        <v>0.85349433202000002</v>
      </c>
      <c r="G82" s="175">
        <v>0.85099195671000005</v>
      </c>
      <c r="H82" s="175">
        <v>0.83076486373000002</v>
      </c>
      <c r="I82" s="175">
        <v>0.86118127385999999</v>
      </c>
      <c r="J82" s="175">
        <v>0.92234639003999996</v>
      </c>
      <c r="K82" s="175">
        <v>0.93175433241000005</v>
      </c>
      <c r="L82" s="175">
        <v>0.86979608578000001</v>
      </c>
      <c r="M82" s="175">
        <v>0.87875849276999995</v>
      </c>
      <c r="N82" s="175">
        <v>0.84658439538999997</v>
      </c>
      <c r="O82" s="10"/>
      <c r="P82" s="10"/>
      <c r="Q82" s="10"/>
    </row>
    <row r="83" spans="1:17" ht="13" outlineLevel="3" x14ac:dyDescent="0.3">
      <c r="A83" s="176" t="s">
        <v>117</v>
      </c>
      <c r="B83" s="175">
        <f t="shared" ref="B83:N83" si="13">SUM(B$84:B$84)</f>
        <v>0.60585586000000002</v>
      </c>
      <c r="C83" s="175">
        <f t="shared" si="13"/>
        <v>0.60585586000000002</v>
      </c>
      <c r="D83" s="175">
        <f t="shared" si="13"/>
        <v>0.60585586000000002</v>
      </c>
      <c r="E83" s="175">
        <f t="shared" si="13"/>
        <v>0.60585586000000002</v>
      </c>
      <c r="F83" s="175">
        <f t="shared" si="13"/>
        <v>0.60585586000000002</v>
      </c>
      <c r="G83" s="175">
        <f t="shared" si="13"/>
        <v>0.60585586000000002</v>
      </c>
      <c r="H83" s="175">
        <f t="shared" si="13"/>
        <v>0.60585586000000002</v>
      </c>
      <c r="I83" s="175">
        <f t="shared" si="13"/>
        <v>0.60585586000000002</v>
      </c>
      <c r="J83" s="175">
        <f t="shared" si="13"/>
        <v>0.60585586000000002</v>
      </c>
      <c r="K83" s="175">
        <f t="shared" si="13"/>
        <v>0.60585586000000002</v>
      </c>
      <c r="L83" s="175">
        <f t="shared" si="13"/>
        <v>0.60585586000000002</v>
      </c>
      <c r="M83" s="175">
        <f t="shared" si="13"/>
        <v>0.60585586000000002</v>
      </c>
      <c r="N83" s="175">
        <f t="shared" si="13"/>
        <v>0.60585586000000002</v>
      </c>
      <c r="O83" s="10"/>
      <c r="P83" s="10"/>
      <c r="Q83" s="10"/>
    </row>
    <row r="84" spans="1:17" ht="13" outlineLevel="4" x14ac:dyDescent="0.3">
      <c r="A84" s="174" t="s">
        <v>118</v>
      </c>
      <c r="B84" s="175">
        <v>0.60585586000000002</v>
      </c>
      <c r="C84" s="175">
        <v>0.60585586000000002</v>
      </c>
      <c r="D84" s="175">
        <v>0.60585586000000002</v>
      </c>
      <c r="E84" s="175">
        <v>0.60585586000000002</v>
      </c>
      <c r="F84" s="175">
        <v>0.60585586000000002</v>
      </c>
      <c r="G84" s="175">
        <v>0.60585586000000002</v>
      </c>
      <c r="H84" s="175">
        <v>0.60585586000000002</v>
      </c>
      <c r="I84" s="175">
        <v>0.60585586000000002</v>
      </c>
      <c r="J84" s="175">
        <v>0.60585586000000002</v>
      </c>
      <c r="K84" s="175">
        <v>0.60585586000000002</v>
      </c>
      <c r="L84" s="175">
        <v>0.60585586000000002</v>
      </c>
      <c r="M84" s="175">
        <v>0.60585586000000002</v>
      </c>
      <c r="N84" s="175">
        <v>0.60585586000000002</v>
      </c>
      <c r="O84" s="10"/>
      <c r="P84" s="10"/>
      <c r="Q84" s="10"/>
    </row>
    <row r="85" spans="1:17" ht="13" outlineLevel="3" x14ac:dyDescent="0.3">
      <c r="A85" s="176" t="s">
        <v>119</v>
      </c>
      <c r="B85" s="175">
        <f t="shared" ref="B85:N85" si="14">SUM(B$86:B$91)</f>
        <v>1.56620920958</v>
      </c>
      <c r="C85" s="175">
        <f t="shared" si="14"/>
        <v>1.5288623388900002</v>
      </c>
      <c r="D85" s="175">
        <f t="shared" si="14"/>
        <v>1.4979561883199999</v>
      </c>
      <c r="E85" s="175">
        <f t="shared" si="14"/>
        <v>1.6508844137299998</v>
      </c>
      <c r="F85" s="175">
        <f t="shared" si="14"/>
        <v>1.6332678938000003</v>
      </c>
      <c r="G85" s="175">
        <f t="shared" si="14"/>
        <v>1.64322328055</v>
      </c>
      <c r="H85" s="175">
        <f t="shared" si="14"/>
        <v>1.58765407129</v>
      </c>
      <c r="I85" s="175">
        <f t="shared" si="14"/>
        <v>1.61235429221</v>
      </c>
      <c r="J85" s="175">
        <f t="shared" si="14"/>
        <v>1.6189729982400001</v>
      </c>
      <c r="K85" s="175">
        <f t="shared" si="14"/>
        <v>1.61437461429</v>
      </c>
      <c r="L85" s="175">
        <f t="shared" si="14"/>
        <v>1.5633903921500001</v>
      </c>
      <c r="M85" s="175">
        <f t="shared" si="14"/>
        <v>1.52413786035</v>
      </c>
      <c r="N85" s="175">
        <f t="shared" si="14"/>
        <v>1.4786194744199999</v>
      </c>
      <c r="O85" s="10"/>
      <c r="P85" s="10"/>
      <c r="Q85" s="10"/>
    </row>
    <row r="86" spans="1:17" ht="13" outlineLevel="4" x14ac:dyDescent="0.3">
      <c r="A86" s="174" t="s">
        <v>120</v>
      </c>
      <c r="B86" s="175">
        <v>0.72231178122999995</v>
      </c>
      <c r="C86" s="175">
        <v>0.70508797455000005</v>
      </c>
      <c r="D86" s="175">
        <v>0.70255262682999997</v>
      </c>
      <c r="E86" s="175">
        <v>0.70213072454000003</v>
      </c>
      <c r="F86" s="175">
        <v>0.69634523860999997</v>
      </c>
      <c r="G86" s="175">
        <v>0.70323567102999995</v>
      </c>
      <c r="H86" s="175">
        <v>0.69517420953999998</v>
      </c>
      <c r="I86" s="175">
        <v>0.70368994203000002</v>
      </c>
      <c r="J86" s="175">
        <v>0.72123944831999998</v>
      </c>
      <c r="K86" s="175">
        <v>0.72559575280999999</v>
      </c>
      <c r="L86" s="175">
        <v>0.70284527240000005</v>
      </c>
      <c r="M86" s="175">
        <v>0.68542562194000001</v>
      </c>
      <c r="N86" s="175">
        <v>0.67918575608999998</v>
      </c>
      <c r="O86" s="10"/>
      <c r="P86" s="10"/>
      <c r="Q86" s="10"/>
    </row>
    <row r="87" spans="1:17" ht="13" outlineLevel="4" x14ac:dyDescent="0.3">
      <c r="A87" s="174" t="s">
        <v>121</v>
      </c>
      <c r="B87" s="175">
        <v>5.681727E-5</v>
      </c>
      <c r="C87" s="175">
        <v>5.5462440000000002E-5</v>
      </c>
      <c r="D87" s="175">
        <v>5.5263010000000003E-5</v>
      </c>
      <c r="E87" s="175">
        <v>5.5229819999999999E-5</v>
      </c>
      <c r="F87" s="175">
        <v>5.4774729999999998E-5</v>
      </c>
      <c r="G87" s="175">
        <v>5.5316730000000001E-5</v>
      </c>
      <c r="H87" s="175">
        <v>5.4682619999999999E-5</v>
      </c>
      <c r="I87" s="175">
        <v>5.535247E-5</v>
      </c>
      <c r="J87" s="175">
        <v>5.6732920000000002E-5</v>
      </c>
      <c r="K87" s="175">
        <v>5.7075589999999999E-5</v>
      </c>
      <c r="L87" s="175">
        <v>5.5286030000000001E-5</v>
      </c>
      <c r="M87" s="175">
        <v>5.3915790000000002E-5</v>
      </c>
      <c r="N87" s="175">
        <v>5.3424960000000002E-5</v>
      </c>
      <c r="O87" s="10"/>
      <c r="P87" s="10"/>
      <c r="Q87" s="10"/>
    </row>
    <row r="88" spans="1:17" ht="13" outlineLevel="4" x14ac:dyDescent="0.3">
      <c r="A88" s="174" t="s">
        <v>122</v>
      </c>
      <c r="B88" s="175">
        <v>4.3185847999999997E-3</v>
      </c>
      <c r="C88" s="175">
        <v>4.2156064600000001E-3</v>
      </c>
      <c r="D88" s="175">
        <v>4.2004480299999997E-3</v>
      </c>
      <c r="E88" s="175">
        <v>4.1979255400000004E-3</v>
      </c>
      <c r="F88" s="175">
        <v>4.1633350600000004E-3</v>
      </c>
      <c r="G88" s="175">
        <v>4.2045318400000002E-3</v>
      </c>
      <c r="H88" s="175">
        <v>4.1563336699999998E-3</v>
      </c>
      <c r="I88" s="175">
        <v>4.20724785E-3</v>
      </c>
      <c r="J88" s="175">
        <v>4.3121734999999996E-3</v>
      </c>
      <c r="K88" s="175">
        <v>4.3382191400000002E-3</v>
      </c>
      <c r="L88" s="175">
        <v>4.2021977100000002E-3</v>
      </c>
      <c r="M88" s="175">
        <v>4.0980484499999999E-3</v>
      </c>
      <c r="N88" s="175">
        <v>6.7086455600000004E-3</v>
      </c>
      <c r="O88" s="10"/>
      <c r="P88" s="10"/>
      <c r="Q88" s="10"/>
    </row>
    <row r="89" spans="1:17" ht="13" outlineLevel="4" x14ac:dyDescent="0.3">
      <c r="A89" s="174" t="s">
        <v>123</v>
      </c>
      <c r="B89" s="175">
        <v>0.2708811217</v>
      </c>
      <c r="C89" s="175">
        <v>0.26442185547000002</v>
      </c>
      <c r="D89" s="175">
        <v>0.26409687530999998</v>
      </c>
      <c r="E89" s="175">
        <v>0.25020198264999999</v>
      </c>
      <c r="F89" s="175">
        <v>0.24413870237999999</v>
      </c>
      <c r="G89" s="175">
        <v>0.23963246579</v>
      </c>
      <c r="H89" s="175">
        <v>0.22552662536000001</v>
      </c>
      <c r="I89" s="175">
        <v>0.23288919786000001</v>
      </c>
      <c r="J89" s="175">
        <v>0.23159804617999999</v>
      </c>
      <c r="K89" s="175">
        <v>0.21692416289999999</v>
      </c>
      <c r="L89" s="175">
        <v>0.21012267749999999</v>
      </c>
      <c r="M89" s="175">
        <v>0.20382282198000001</v>
      </c>
      <c r="N89" s="175">
        <v>0.19288559186000001</v>
      </c>
      <c r="O89" s="10"/>
      <c r="P89" s="10"/>
      <c r="Q89" s="10"/>
    </row>
    <row r="90" spans="1:17" ht="13" outlineLevel="4" x14ac:dyDescent="0.3">
      <c r="A90" s="174" t="s">
        <v>124</v>
      </c>
      <c r="B90" s="175">
        <v>0.56864090458000005</v>
      </c>
      <c r="C90" s="175">
        <v>0.55508143997000003</v>
      </c>
      <c r="D90" s="175">
        <v>0.52705097513999999</v>
      </c>
      <c r="E90" s="175">
        <v>0.52673446647</v>
      </c>
      <c r="F90" s="175">
        <v>0.52239422787000001</v>
      </c>
      <c r="G90" s="175">
        <v>0.52756339101000005</v>
      </c>
      <c r="H90" s="175">
        <v>0.49512524250000001</v>
      </c>
      <c r="I90" s="175">
        <v>0.50119041879000004</v>
      </c>
      <c r="J90" s="175">
        <v>0.48696274988999999</v>
      </c>
      <c r="K90" s="175">
        <v>0.48990401722999999</v>
      </c>
      <c r="L90" s="175">
        <v>0.47454346459000002</v>
      </c>
      <c r="M90" s="175">
        <v>0.46278215436999998</v>
      </c>
      <c r="N90" s="175">
        <v>0.43278562789000002</v>
      </c>
      <c r="O90" s="10"/>
      <c r="P90" s="10"/>
      <c r="Q90" s="10"/>
    </row>
    <row r="91" spans="1:17" ht="13" outlineLevel="4" x14ac:dyDescent="0.3">
      <c r="A91" s="174" t="s">
        <v>125</v>
      </c>
      <c r="B91" s="175">
        <v>0</v>
      </c>
      <c r="C91" s="175">
        <v>0</v>
      </c>
      <c r="D91" s="175">
        <v>0</v>
      </c>
      <c r="E91" s="175">
        <v>0.16756408471000001</v>
      </c>
      <c r="F91" s="175">
        <v>0.16617161515000001</v>
      </c>
      <c r="G91" s="175">
        <v>0.16853190414999999</v>
      </c>
      <c r="H91" s="175">
        <v>0.16761697759999999</v>
      </c>
      <c r="I91" s="175">
        <v>0.17032213321</v>
      </c>
      <c r="J91" s="175">
        <v>0.17480384742999999</v>
      </c>
      <c r="K91" s="175">
        <v>0.17755538662000001</v>
      </c>
      <c r="L91" s="175">
        <v>0.17162149392000001</v>
      </c>
      <c r="M91" s="175">
        <v>0.16795529781999999</v>
      </c>
      <c r="N91" s="175">
        <v>0.16700042806000001</v>
      </c>
      <c r="O91" s="10"/>
      <c r="P91" s="10"/>
      <c r="Q91" s="10"/>
    </row>
    <row r="92" spans="1:17" ht="13" outlineLevel="3" x14ac:dyDescent="0.3">
      <c r="A92" s="176" t="s">
        <v>126</v>
      </c>
      <c r="B92" s="175">
        <f t="shared" ref="B92:N92" si="15">SUM(B$93:B$99)</f>
        <v>19.760940011999999</v>
      </c>
      <c r="C92" s="175">
        <f t="shared" si="15"/>
        <v>19.701319142589998</v>
      </c>
      <c r="D92" s="175">
        <f t="shared" si="15"/>
        <v>19.692542939020001</v>
      </c>
      <c r="E92" s="175">
        <f t="shared" si="15"/>
        <v>19.69108250807</v>
      </c>
      <c r="F92" s="175">
        <f t="shared" si="15"/>
        <v>19.67105582584</v>
      </c>
      <c r="G92" s="175">
        <f t="shared" si="15"/>
        <v>19.69490732277</v>
      </c>
      <c r="H92" s="175">
        <f t="shared" si="15"/>
        <v>19.667002263640001</v>
      </c>
      <c r="I92" s="175">
        <f t="shared" si="15"/>
        <v>19.69647979929</v>
      </c>
      <c r="J92" s="175">
        <f t="shared" si="15"/>
        <v>15.219165084</v>
      </c>
      <c r="K92" s="175">
        <f t="shared" si="15"/>
        <v>15.219165084</v>
      </c>
      <c r="L92" s="175">
        <f t="shared" si="15"/>
        <v>15.219165084</v>
      </c>
      <c r="M92" s="175">
        <f t="shared" si="15"/>
        <v>15.219165084</v>
      </c>
      <c r="N92" s="175">
        <f t="shared" si="15"/>
        <v>15.219165084</v>
      </c>
      <c r="O92" s="10"/>
      <c r="P92" s="10"/>
      <c r="Q92" s="10"/>
    </row>
    <row r="93" spans="1:17" ht="13" outlineLevel="4" x14ac:dyDescent="0.3">
      <c r="A93" s="174" t="s">
        <v>127</v>
      </c>
      <c r="B93" s="175">
        <v>7.5606299999999997</v>
      </c>
      <c r="C93" s="175">
        <v>7.5606299999999997</v>
      </c>
      <c r="D93" s="175">
        <v>7.5606299999999997</v>
      </c>
      <c r="E93" s="175">
        <v>7.5606299999999997</v>
      </c>
      <c r="F93" s="175">
        <v>7.5606299999999997</v>
      </c>
      <c r="G93" s="175">
        <v>7.5606299999999997</v>
      </c>
      <c r="H93" s="175">
        <v>7.5606299999999997</v>
      </c>
      <c r="I93" s="175">
        <v>7.5606299999999997</v>
      </c>
      <c r="J93" s="175">
        <v>0</v>
      </c>
      <c r="K93" s="175">
        <v>0</v>
      </c>
      <c r="L93" s="175">
        <v>0</v>
      </c>
      <c r="M93" s="175">
        <v>0</v>
      </c>
      <c r="N93" s="175">
        <v>0</v>
      </c>
      <c r="O93" s="10"/>
      <c r="P93" s="10"/>
      <c r="Q93" s="10"/>
    </row>
    <row r="94" spans="1:17" ht="13" outlineLevel="4" x14ac:dyDescent="0.3">
      <c r="A94" s="174" t="s">
        <v>129</v>
      </c>
      <c r="B94" s="175">
        <v>3</v>
      </c>
      <c r="C94" s="175">
        <v>3</v>
      </c>
      <c r="D94" s="175">
        <v>3</v>
      </c>
      <c r="E94" s="175">
        <v>3</v>
      </c>
      <c r="F94" s="175">
        <v>3</v>
      </c>
      <c r="G94" s="175">
        <v>3</v>
      </c>
      <c r="H94" s="175">
        <v>3</v>
      </c>
      <c r="I94" s="175">
        <v>3</v>
      </c>
      <c r="J94" s="175">
        <v>0</v>
      </c>
      <c r="K94" s="175">
        <v>0</v>
      </c>
      <c r="L94" s="175">
        <v>0</v>
      </c>
      <c r="M94" s="175">
        <v>0</v>
      </c>
      <c r="N94" s="175">
        <v>0</v>
      </c>
      <c r="O94" s="10"/>
      <c r="P94" s="10"/>
      <c r="Q94" s="10"/>
    </row>
    <row r="95" spans="1:17" ht="13" outlineLevel="4" x14ac:dyDescent="0.3">
      <c r="A95" s="174" t="s">
        <v>130</v>
      </c>
      <c r="B95" s="175">
        <v>2.35</v>
      </c>
      <c r="C95" s="175">
        <v>2.35</v>
      </c>
      <c r="D95" s="175">
        <v>2.35</v>
      </c>
      <c r="E95" s="175">
        <v>2.35</v>
      </c>
      <c r="F95" s="175">
        <v>2.35</v>
      </c>
      <c r="G95" s="175">
        <v>2.35</v>
      </c>
      <c r="H95" s="175">
        <v>2.35</v>
      </c>
      <c r="I95" s="175">
        <v>2.35</v>
      </c>
      <c r="J95" s="175">
        <v>0</v>
      </c>
      <c r="K95" s="175">
        <v>0</v>
      </c>
      <c r="L95" s="175">
        <v>0</v>
      </c>
      <c r="M95" s="175">
        <v>0</v>
      </c>
      <c r="N95" s="175">
        <v>0</v>
      </c>
      <c r="O95" s="10"/>
      <c r="P95" s="10"/>
      <c r="Q95" s="10"/>
    </row>
    <row r="96" spans="1:17" ht="13" outlineLevel="4" x14ac:dyDescent="0.3">
      <c r="A96" s="174" t="s">
        <v>131</v>
      </c>
      <c r="B96" s="175">
        <v>1.1112488942200001</v>
      </c>
      <c r="C96" s="175">
        <v>1.0847507300400001</v>
      </c>
      <c r="D96" s="175">
        <v>1.08085019512</v>
      </c>
      <c r="E96" s="175">
        <v>1.0802011146999999</v>
      </c>
      <c r="F96" s="175">
        <v>1.0713003670400001</v>
      </c>
      <c r="G96" s="175">
        <v>1.08190103234</v>
      </c>
      <c r="H96" s="175">
        <v>1.0694987838400001</v>
      </c>
      <c r="I96" s="175">
        <v>1.0825999108</v>
      </c>
      <c r="J96" s="175">
        <v>0</v>
      </c>
      <c r="K96" s="175">
        <v>0</v>
      </c>
      <c r="L96" s="175">
        <v>0</v>
      </c>
      <c r="M96" s="175">
        <v>0</v>
      </c>
      <c r="N96" s="175">
        <v>0</v>
      </c>
      <c r="O96" s="10"/>
      <c r="P96" s="10"/>
      <c r="Q96" s="10"/>
    </row>
    <row r="97" spans="1:17" ht="13" outlineLevel="4" x14ac:dyDescent="0.3">
      <c r="A97" s="174" t="s">
        <v>132</v>
      </c>
      <c r="B97" s="175">
        <v>3.9890611177799999</v>
      </c>
      <c r="C97" s="175">
        <v>3.9559384125500001</v>
      </c>
      <c r="D97" s="175">
        <v>3.9510627439000001</v>
      </c>
      <c r="E97" s="175">
        <v>3.9502513933699999</v>
      </c>
      <c r="F97" s="175">
        <v>3.9391254588</v>
      </c>
      <c r="G97" s="175">
        <v>3.9523762904300002</v>
      </c>
      <c r="H97" s="175">
        <v>3.9368734798</v>
      </c>
      <c r="I97" s="175">
        <v>3.9532498884899998</v>
      </c>
      <c r="J97" s="175">
        <v>0</v>
      </c>
      <c r="K97" s="175">
        <v>0</v>
      </c>
      <c r="L97" s="175">
        <v>0</v>
      </c>
      <c r="M97" s="175">
        <v>0</v>
      </c>
      <c r="N97" s="175">
        <v>0</v>
      </c>
      <c r="O97" s="10"/>
      <c r="P97" s="10"/>
      <c r="Q97" s="10"/>
    </row>
    <row r="98" spans="1:17" ht="13" outlineLevel="4" x14ac:dyDescent="0.3">
      <c r="A98" s="174" t="s">
        <v>133</v>
      </c>
      <c r="B98" s="175">
        <v>1.75</v>
      </c>
      <c r="C98" s="175">
        <v>1.75</v>
      </c>
      <c r="D98" s="175">
        <v>1.75</v>
      </c>
      <c r="E98" s="175">
        <v>1.75</v>
      </c>
      <c r="F98" s="175">
        <v>1.75</v>
      </c>
      <c r="G98" s="175">
        <v>1.75</v>
      </c>
      <c r="H98" s="175">
        <v>1.75</v>
      </c>
      <c r="I98" s="175">
        <v>1.75</v>
      </c>
      <c r="J98" s="175">
        <v>0</v>
      </c>
      <c r="K98" s="175">
        <v>0</v>
      </c>
      <c r="L98" s="175">
        <v>0</v>
      </c>
      <c r="M98" s="175">
        <v>0</v>
      </c>
      <c r="N98" s="175">
        <v>0</v>
      </c>
      <c r="O98" s="10"/>
      <c r="P98" s="10"/>
      <c r="Q98" s="10"/>
    </row>
    <row r="99" spans="1:17" ht="13" outlineLevel="4" x14ac:dyDescent="0.3">
      <c r="A99" s="174" t="s">
        <v>134</v>
      </c>
      <c r="B99" s="175">
        <v>0</v>
      </c>
      <c r="C99" s="175">
        <v>0</v>
      </c>
      <c r="D99" s="175">
        <v>0</v>
      </c>
      <c r="E99" s="175">
        <v>0</v>
      </c>
      <c r="F99" s="175">
        <v>0</v>
      </c>
      <c r="G99" s="175">
        <v>0</v>
      </c>
      <c r="H99" s="175">
        <v>0</v>
      </c>
      <c r="I99" s="175">
        <v>0</v>
      </c>
      <c r="J99" s="175">
        <v>15.219165084</v>
      </c>
      <c r="K99" s="175">
        <v>15.219165084</v>
      </c>
      <c r="L99" s="175">
        <v>15.219165084</v>
      </c>
      <c r="M99" s="175">
        <v>15.219165084</v>
      </c>
      <c r="N99" s="175">
        <v>15.219165084</v>
      </c>
      <c r="O99" s="10"/>
      <c r="P99" s="10"/>
      <c r="Q99" s="10"/>
    </row>
    <row r="100" spans="1:17" ht="13" outlineLevel="3" x14ac:dyDescent="0.3">
      <c r="A100" s="176" t="s">
        <v>135</v>
      </c>
      <c r="B100" s="175">
        <f t="shared" ref="B100:N100" si="16">SUM(B$101:B$101)</f>
        <v>3</v>
      </c>
      <c r="C100" s="175">
        <f t="shared" si="16"/>
        <v>3</v>
      </c>
      <c r="D100" s="175">
        <f t="shared" si="16"/>
        <v>3</v>
      </c>
      <c r="E100" s="175">
        <f t="shared" si="16"/>
        <v>3</v>
      </c>
      <c r="F100" s="175">
        <f t="shared" si="16"/>
        <v>3</v>
      </c>
      <c r="G100" s="175">
        <f t="shared" si="16"/>
        <v>3</v>
      </c>
      <c r="H100" s="175">
        <f t="shared" si="16"/>
        <v>3</v>
      </c>
      <c r="I100" s="175">
        <f t="shared" si="16"/>
        <v>3</v>
      </c>
      <c r="J100" s="175">
        <f t="shared" si="16"/>
        <v>3</v>
      </c>
      <c r="K100" s="175">
        <f t="shared" si="16"/>
        <v>3</v>
      </c>
      <c r="L100" s="175">
        <f t="shared" si="16"/>
        <v>3</v>
      </c>
      <c r="M100" s="175">
        <f t="shared" si="16"/>
        <v>3</v>
      </c>
      <c r="N100" s="175">
        <f t="shared" si="16"/>
        <v>3</v>
      </c>
      <c r="O100" s="10"/>
      <c r="P100" s="10"/>
      <c r="Q100" s="10"/>
    </row>
    <row r="101" spans="1:17" ht="13" outlineLevel="4" x14ac:dyDescent="0.3">
      <c r="A101" s="174" t="s">
        <v>136</v>
      </c>
      <c r="B101" s="175">
        <v>3</v>
      </c>
      <c r="C101" s="175">
        <v>3</v>
      </c>
      <c r="D101" s="175">
        <v>3</v>
      </c>
      <c r="E101" s="175">
        <v>3</v>
      </c>
      <c r="F101" s="175">
        <v>3</v>
      </c>
      <c r="G101" s="175">
        <v>3</v>
      </c>
      <c r="H101" s="175">
        <v>3</v>
      </c>
      <c r="I101" s="175">
        <v>3</v>
      </c>
      <c r="J101" s="175">
        <v>3</v>
      </c>
      <c r="K101" s="175">
        <v>3</v>
      </c>
      <c r="L101" s="175">
        <v>3</v>
      </c>
      <c r="M101" s="175">
        <v>3</v>
      </c>
      <c r="N101" s="175">
        <v>3</v>
      </c>
      <c r="O101" s="10"/>
      <c r="P101" s="10"/>
      <c r="Q101" s="10"/>
    </row>
    <row r="102" spans="1:17" ht="13" outlineLevel="3" x14ac:dyDescent="0.3">
      <c r="A102" s="176" t="s">
        <v>137</v>
      </c>
      <c r="B102" s="175">
        <f t="shared" ref="B102:N102" si="17">SUM(B$103:B$103)</f>
        <v>4.2346040658300002</v>
      </c>
      <c r="C102" s="175">
        <f t="shared" si="17"/>
        <v>4.1974077769100004</v>
      </c>
      <c r="D102" s="175">
        <f t="shared" si="17"/>
        <v>4.1900857881500002</v>
      </c>
      <c r="E102" s="175">
        <f t="shared" si="17"/>
        <v>4.1789899822400001</v>
      </c>
      <c r="F102" s="175">
        <f t="shared" si="17"/>
        <v>4.1596748313600003</v>
      </c>
      <c r="G102" s="175">
        <f t="shared" si="17"/>
        <v>4.1773805033200002</v>
      </c>
      <c r="H102" s="175">
        <f t="shared" si="17"/>
        <v>4.1515169155800002</v>
      </c>
      <c r="I102" s="175">
        <f t="shared" si="17"/>
        <v>4.1927909164399999</v>
      </c>
      <c r="J102" s="175">
        <f t="shared" si="17"/>
        <v>4.2501828764500003</v>
      </c>
      <c r="K102" s="175">
        <f t="shared" si="17"/>
        <v>4.28100739994</v>
      </c>
      <c r="L102" s="175">
        <f t="shared" si="17"/>
        <v>4.2029301677199999</v>
      </c>
      <c r="M102" s="175">
        <f t="shared" si="17"/>
        <v>4.1567001338700003</v>
      </c>
      <c r="N102" s="175">
        <f t="shared" si="17"/>
        <v>4.1161355888799998</v>
      </c>
      <c r="O102" s="10"/>
      <c r="P102" s="10"/>
      <c r="Q102" s="10"/>
    </row>
    <row r="103" spans="1:17" ht="13" outlineLevel="4" x14ac:dyDescent="0.3">
      <c r="A103" s="174" t="s">
        <v>104</v>
      </c>
      <c r="B103" s="175">
        <v>4.2346040658300002</v>
      </c>
      <c r="C103" s="175">
        <v>4.1974077769100004</v>
      </c>
      <c r="D103" s="175">
        <v>4.1900857881500002</v>
      </c>
      <c r="E103" s="175">
        <v>4.1789899822400001</v>
      </c>
      <c r="F103" s="175">
        <v>4.1596748313600003</v>
      </c>
      <c r="G103" s="175">
        <v>4.1773805033200002</v>
      </c>
      <c r="H103" s="175">
        <v>4.1515169155800002</v>
      </c>
      <c r="I103" s="175">
        <v>4.1927909164399999</v>
      </c>
      <c r="J103" s="175">
        <v>4.2501828764500003</v>
      </c>
      <c r="K103" s="175">
        <v>4.28100739994</v>
      </c>
      <c r="L103" s="175">
        <v>4.2029301677199999</v>
      </c>
      <c r="M103" s="175">
        <v>4.1567001338700003</v>
      </c>
      <c r="N103" s="175">
        <v>4.1161355888799998</v>
      </c>
      <c r="O103" s="10"/>
      <c r="P103" s="10"/>
      <c r="Q103" s="10"/>
    </row>
    <row r="104" spans="1:17" ht="14.5" outlineLevel="2" x14ac:dyDescent="0.35">
      <c r="A104" s="177" t="s">
        <v>2</v>
      </c>
      <c r="B104" s="178">
        <f t="shared" ref="B104:N104" si="18">B$105+B$112+B$115+B$117+B$120</f>
        <v>6.9175722951700003</v>
      </c>
      <c r="C104" s="178">
        <f t="shared" si="18"/>
        <v>7.0218152673599992</v>
      </c>
      <c r="D104" s="178">
        <f t="shared" si="18"/>
        <v>6.6956954384199987</v>
      </c>
      <c r="E104" s="178">
        <f t="shared" si="18"/>
        <v>6.2439877595899995</v>
      </c>
      <c r="F104" s="178">
        <f t="shared" si="18"/>
        <v>6.1254134813800007</v>
      </c>
      <c r="G104" s="178">
        <f t="shared" si="18"/>
        <v>6.1429362961399994</v>
      </c>
      <c r="H104" s="178">
        <f t="shared" si="18"/>
        <v>6.1399233301900011</v>
      </c>
      <c r="I104" s="178">
        <f t="shared" si="18"/>
        <v>6.2010501098200006</v>
      </c>
      <c r="J104" s="178">
        <f t="shared" si="18"/>
        <v>5.4121602683699992</v>
      </c>
      <c r="K104" s="178">
        <f t="shared" si="18"/>
        <v>5.3421646932699991</v>
      </c>
      <c r="L104" s="178">
        <f t="shared" si="18"/>
        <v>5.1604653517100001</v>
      </c>
      <c r="M104" s="178">
        <f t="shared" si="18"/>
        <v>5.1153491469200008</v>
      </c>
      <c r="N104" s="178">
        <f t="shared" si="18"/>
        <v>5.2131031995800008</v>
      </c>
      <c r="O104" s="10"/>
      <c r="P104" s="10"/>
      <c r="Q104" s="10"/>
    </row>
    <row r="105" spans="1:17" ht="13" outlineLevel="3" x14ac:dyDescent="0.3">
      <c r="A105" s="176" t="s">
        <v>96</v>
      </c>
      <c r="B105" s="175">
        <f t="shared" ref="B105:N105" si="19">SUM(B$106:B$111)</f>
        <v>4.23165891857</v>
      </c>
      <c r="C105" s="175">
        <f t="shared" si="19"/>
        <v>4.3375701761599998</v>
      </c>
      <c r="D105" s="175">
        <f t="shared" si="19"/>
        <v>4.012290523559999</v>
      </c>
      <c r="E105" s="175">
        <f t="shared" si="19"/>
        <v>3.5596238582600002</v>
      </c>
      <c r="F105" s="175">
        <f t="shared" si="19"/>
        <v>3.44180290189</v>
      </c>
      <c r="G105" s="175">
        <f t="shared" si="19"/>
        <v>3.4622058558000002</v>
      </c>
      <c r="H105" s="175">
        <f t="shared" si="19"/>
        <v>3.4596722448900006</v>
      </c>
      <c r="I105" s="175">
        <f t="shared" si="19"/>
        <v>3.51932297378</v>
      </c>
      <c r="J105" s="175">
        <f t="shared" si="19"/>
        <v>3.4317851565400002</v>
      </c>
      <c r="K105" s="175">
        <f t="shared" si="19"/>
        <v>3.3607839250999998</v>
      </c>
      <c r="L105" s="175">
        <f t="shared" si="19"/>
        <v>3.1821876177599999</v>
      </c>
      <c r="M105" s="175">
        <f t="shared" si="19"/>
        <v>3.14278533901</v>
      </c>
      <c r="N105" s="175">
        <f t="shared" si="19"/>
        <v>3.2418873771000003</v>
      </c>
      <c r="O105" s="10"/>
      <c r="P105" s="10"/>
      <c r="Q105" s="10"/>
    </row>
    <row r="106" spans="1:17" ht="13" outlineLevel="4" x14ac:dyDescent="0.3">
      <c r="A106" s="174" t="s">
        <v>156</v>
      </c>
      <c r="B106" s="175">
        <v>0.33337466827000001</v>
      </c>
      <c r="C106" s="175">
        <v>0.32542521900999999</v>
      </c>
      <c r="D106" s="175">
        <v>0.32425505853999997</v>
      </c>
      <c r="E106" s="175">
        <v>0.32406033440999998</v>
      </c>
      <c r="F106" s="175">
        <v>0.32139011011000002</v>
      </c>
      <c r="G106" s="175">
        <v>0.3245703097</v>
      </c>
      <c r="H106" s="175">
        <v>0.32084963514999998</v>
      </c>
      <c r="I106" s="175">
        <v>0.32477997324000002</v>
      </c>
      <c r="J106" s="175">
        <v>0.33287974537999998</v>
      </c>
      <c r="K106" s="175">
        <v>0.33489034747000002</v>
      </c>
      <c r="L106" s="175">
        <v>0.32439012572999998</v>
      </c>
      <c r="M106" s="175">
        <v>0.31635028705000001</v>
      </c>
      <c r="N106" s="175">
        <v>0.31347034895999998</v>
      </c>
      <c r="O106" s="10"/>
      <c r="P106" s="10"/>
      <c r="Q106" s="10"/>
    </row>
    <row r="107" spans="1:17" ht="13" outlineLevel="4" x14ac:dyDescent="0.3">
      <c r="A107" s="174" t="s">
        <v>99</v>
      </c>
      <c r="B107" s="175">
        <v>1.11848112001</v>
      </c>
      <c r="C107" s="175">
        <v>1.2550535109700001</v>
      </c>
      <c r="D107" s="175">
        <v>1.06577414746</v>
      </c>
      <c r="E107" s="175">
        <v>0.88006607888999999</v>
      </c>
      <c r="F107" s="175">
        <v>0.86506788454000005</v>
      </c>
      <c r="G107" s="175">
        <v>0.87744088989000002</v>
      </c>
      <c r="H107" s="175">
        <v>0.88568163403</v>
      </c>
      <c r="I107" s="175">
        <v>0.92546855575999998</v>
      </c>
      <c r="J107" s="175">
        <v>0.93740859485000005</v>
      </c>
      <c r="K107" s="175">
        <v>1.1204470335800001</v>
      </c>
      <c r="L107" s="175">
        <v>1.07136584979</v>
      </c>
      <c r="M107" s="175">
        <v>1.05860444105</v>
      </c>
      <c r="N107" s="175">
        <v>1.0781519687600001</v>
      </c>
      <c r="O107" s="10"/>
      <c r="P107" s="10"/>
      <c r="Q107" s="10"/>
    </row>
    <row r="108" spans="1:17" ht="13" outlineLevel="4" x14ac:dyDescent="0.3">
      <c r="A108" s="174" t="s">
        <v>100</v>
      </c>
      <c r="B108" s="175">
        <v>0.11186386994</v>
      </c>
      <c r="C108" s="175">
        <v>0.10786761258999999</v>
      </c>
      <c r="D108" s="175">
        <v>0.10747974340999999</v>
      </c>
      <c r="E108" s="175">
        <v>0.10741519884</v>
      </c>
      <c r="F108" s="175">
        <v>0.1065301085</v>
      </c>
      <c r="G108" s="175">
        <v>0.10758423866</v>
      </c>
      <c r="H108" s="175">
        <v>0.10635095906</v>
      </c>
      <c r="I108" s="175">
        <v>0.10616330843000001</v>
      </c>
      <c r="J108" s="175">
        <v>0.10881094276</v>
      </c>
      <c r="K108" s="175">
        <v>0.10946816361</v>
      </c>
      <c r="L108" s="175">
        <v>0.106035876</v>
      </c>
      <c r="M108" s="175">
        <v>0.10340783257</v>
      </c>
      <c r="N108" s="175">
        <v>0.19232794526999999</v>
      </c>
      <c r="O108" s="10"/>
      <c r="P108" s="10"/>
      <c r="Q108" s="10"/>
    </row>
    <row r="109" spans="1:17" ht="13" outlineLevel="4" x14ac:dyDescent="0.3">
      <c r="A109" s="174" t="s">
        <v>103</v>
      </c>
      <c r="B109" s="175">
        <v>0.53712731924000001</v>
      </c>
      <c r="C109" s="175">
        <v>0.53712731924000001</v>
      </c>
      <c r="D109" s="175">
        <v>0.53714231924</v>
      </c>
      <c r="E109" s="175">
        <v>0.53466577961999995</v>
      </c>
      <c r="F109" s="175">
        <v>0.52393577964000004</v>
      </c>
      <c r="G109" s="175">
        <v>0.52081577963000003</v>
      </c>
      <c r="H109" s="175">
        <v>0.52509737963000003</v>
      </c>
      <c r="I109" s="175">
        <v>0.52509737963000003</v>
      </c>
      <c r="J109" s="175">
        <v>0.52510377962999999</v>
      </c>
      <c r="K109" s="175">
        <v>0.52262724001000005</v>
      </c>
      <c r="L109" s="175">
        <v>0.51172224003</v>
      </c>
      <c r="M109" s="175">
        <v>0.50860224001999998</v>
      </c>
      <c r="N109" s="175">
        <v>0.51326692550999997</v>
      </c>
      <c r="O109" s="10"/>
      <c r="P109" s="10"/>
      <c r="Q109" s="10"/>
    </row>
    <row r="110" spans="1:17" ht="13" outlineLevel="4" x14ac:dyDescent="0.3">
      <c r="A110" s="174" t="s">
        <v>104</v>
      </c>
      <c r="B110" s="175">
        <v>2.13065401311</v>
      </c>
      <c r="C110" s="175">
        <v>2.11193858635</v>
      </c>
      <c r="D110" s="175">
        <v>1.97747832691</v>
      </c>
      <c r="E110" s="175">
        <v>1.7132555384999999</v>
      </c>
      <c r="F110" s="175">
        <v>1.6247180911000001</v>
      </c>
      <c r="G110" s="175">
        <v>1.63163370992</v>
      </c>
      <c r="H110" s="175">
        <v>1.6215317090200001</v>
      </c>
      <c r="I110" s="175">
        <v>1.6376528287200001</v>
      </c>
      <c r="J110" s="175">
        <v>1.52741756592</v>
      </c>
      <c r="K110" s="175">
        <v>1.27318661243</v>
      </c>
      <c r="L110" s="175">
        <v>1.1685089982100001</v>
      </c>
      <c r="M110" s="175">
        <v>1.15565601032</v>
      </c>
      <c r="N110" s="175">
        <v>1.1443781555999999</v>
      </c>
      <c r="O110" s="10"/>
      <c r="P110" s="10"/>
      <c r="Q110" s="10"/>
    </row>
    <row r="111" spans="1:17" ht="13" outlineLevel="4" x14ac:dyDescent="0.3">
      <c r="A111" s="174" t="s">
        <v>105</v>
      </c>
      <c r="B111" s="175">
        <v>1.57928E-4</v>
      </c>
      <c r="C111" s="175">
        <v>1.57928E-4</v>
      </c>
      <c r="D111" s="175">
        <v>1.6092799999999999E-4</v>
      </c>
      <c r="E111" s="175">
        <v>1.6092799999999999E-4</v>
      </c>
      <c r="F111" s="175">
        <v>1.6092799999999999E-4</v>
      </c>
      <c r="G111" s="175">
        <v>1.6092799999999999E-4</v>
      </c>
      <c r="H111" s="175">
        <v>1.6092799999999999E-4</v>
      </c>
      <c r="I111" s="175">
        <v>1.6092799999999999E-4</v>
      </c>
      <c r="J111" s="175">
        <v>1.6452799999999999E-4</v>
      </c>
      <c r="K111" s="175">
        <v>1.6452799999999999E-4</v>
      </c>
      <c r="L111" s="175">
        <v>1.6452799999999999E-4</v>
      </c>
      <c r="M111" s="175">
        <v>1.6452799999999999E-4</v>
      </c>
      <c r="N111" s="175">
        <v>2.9203299999999997E-4</v>
      </c>
      <c r="O111" s="10"/>
      <c r="P111" s="10"/>
      <c r="Q111" s="10"/>
    </row>
    <row r="112" spans="1:17" ht="13" outlineLevel="3" x14ac:dyDescent="0.3">
      <c r="A112" s="176" t="s">
        <v>157</v>
      </c>
      <c r="B112" s="175">
        <f t="shared" ref="B112:N112" si="20">SUM(B$113:B$114)</f>
        <v>0.85471092828999995</v>
      </c>
      <c r="C112" s="175">
        <f t="shared" si="20"/>
        <v>0.85400245958999998</v>
      </c>
      <c r="D112" s="175">
        <f t="shared" si="20"/>
        <v>0.85703122056999992</v>
      </c>
      <c r="E112" s="175">
        <f t="shared" si="20"/>
        <v>0.8582765243099999</v>
      </c>
      <c r="F112" s="175">
        <f t="shared" si="20"/>
        <v>0.85802161252999998</v>
      </c>
      <c r="G112" s="175">
        <f t="shared" si="20"/>
        <v>0.85836459446999991</v>
      </c>
      <c r="H112" s="175">
        <f t="shared" si="20"/>
        <v>0.85855262599999993</v>
      </c>
      <c r="I112" s="175">
        <f t="shared" si="20"/>
        <v>0.85896363836</v>
      </c>
      <c r="J112" s="175">
        <f t="shared" si="20"/>
        <v>0.85981066635999992</v>
      </c>
      <c r="K112" s="175">
        <f t="shared" si="20"/>
        <v>0.86002092365999994</v>
      </c>
      <c r="L112" s="175">
        <f t="shared" si="20"/>
        <v>0.85893260202999999</v>
      </c>
      <c r="M112" s="175">
        <f t="shared" si="20"/>
        <v>0.85809160032999998</v>
      </c>
      <c r="N112" s="175">
        <f t="shared" si="20"/>
        <v>0.85779034641999996</v>
      </c>
      <c r="O112" s="10"/>
      <c r="P112" s="10"/>
      <c r="Q112" s="10"/>
    </row>
    <row r="113" spans="1:17" ht="13" outlineLevel="4" x14ac:dyDescent="0.3">
      <c r="A113" s="174" t="s">
        <v>158</v>
      </c>
      <c r="B113" s="175">
        <v>0.82499999999999996</v>
      </c>
      <c r="C113" s="175">
        <v>0.82499999999999996</v>
      </c>
      <c r="D113" s="175">
        <v>0.82499999999999996</v>
      </c>
      <c r="E113" s="175">
        <v>0.82499999999999996</v>
      </c>
      <c r="F113" s="175">
        <v>0.82499999999999996</v>
      </c>
      <c r="G113" s="175">
        <v>0.82499999999999996</v>
      </c>
      <c r="H113" s="175">
        <v>0.82499999999999996</v>
      </c>
      <c r="I113" s="175">
        <v>0.82499999999999996</v>
      </c>
      <c r="J113" s="175">
        <v>0.82499999999999996</v>
      </c>
      <c r="K113" s="175">
        <v>0.82499999999999996</v>
      </c>
      <c r="L113" s="175">
        <v>0.82499999999999996</v>
      </c>
      <c r="M113" s="175">
        <v>0.82499999999999996</v>
      </c>
      <c r="N113" s="175">
        <v>0.82499999999999996</v>
      </c>
      <c r="O113" s="10"/>
      <c r="P113" s="10"/>
      <c r="Q113" s="10"/>
    </row>
    <row r="114" spans="1:17" ht="13" outlineLevel="4" x14ac:dyDescent="0.3">
      <c r="A114" s="174" t="s">
        <v>111</v>
      </c>
      <c r="B114" s="175">
        <v>2.9710928290000001E-2</v>
      </c>
      <c r="C114" s="175">
        <v>2.9002459590000002E-2</v>
      </c>
      <c r="D114" s="175">
        <v>3.2031220569999998E-2</v>
      </c>
      <c r="E114" s="175">
        <v>3.327652431E-2</v>
      </c>
      <c r="F114" s="175">
        <v>3.3021612530000001E-2</v>
      </c>
      <c r="G114" s="175">
        <v>3.3364594470000002E-2</v>
      </c>
      <c r="H114" s="175">
        <v>3.3552626000000002E-2</v>
      </c>
      <c r="I114" s="175">
        <v>3.3963638359999999E-2</v>
      </c>
      <c r="J114" s="175">
        <v>3.4810666359999999E-2</v>
      </c>
      <c r="K114" s="175">
        <v>3.5020923660000002E-2</v>
      </c>
      <c r="L114" s="175">
        <v>3.3932602030000002E-2</v>
      </c>
      <c r="M114" s="175">
        <v>3.3091600329999998E-2</v>
      </c>
      <c r="N114" s="175">
        <v>3.2790346419999998E-2</v>
      </c>
      <c r="O114" s="10"/>
      <c r="P114" s="10"/>
      <c r="Q114" s="10"/>
    </row>
    <row r="115" spans="1:17" ht="13" outlineLevel="3" x14ac:dyDescent="0.3">
      <c r="A115" s="176" t="s">
        <v>119</v>
      </c>
      <c r="B115" s="175">
        <f t="shared" ref="B115:N115" si="21">SUM(B$116:B$116)</f>
        <v>0.19693230805</v>
      </c>
      <c r="C115" s="175">
        <f t="shared" si="21"/>
        <v>0.19693230805</v>
      </c>
      <c r="D115" s="175">
        <f t="shared" si="21"/>
        <v>0.19325230804999999</v>
      </c>
      <c r="E115" s="175">
        <f t="shared" si="21"/>
        <v>0.19325230804999999</v>
      </c>
      <c r="F115" s="175">
        <f t="shared" si="21"/>
        <v>0.19325230804999999</v>
      </c>
      <c r="G115" s="175">
        <f t="shared" si="21"/>
        <v>0.18957230805</v>
      </c>
      <c r="H115" s="175">
        <f t="shared" si="21"/>
        <v>0.18957230805</v>
      </c>
      <c r="I115" s="175">
        <f t="shared" si="21"/>
        <v>0.18957230805</v>
      </c>
      <c r="J115" s="175">
        <f t="shared" si="21"/>
        <v>0.18589230805000001</v>
      </c>
      <c r="K115" s="175">
        <f t="shared" si="21"/>
        <v>0.18589230805000001</v>
      </c>
      <c r="L115" s="175">
        <f t="shared" si="21"/>
        <v>0.18589230805000001</v>
      </c>
      <c r="M115" s="175">
        <f t="shared" si="21"/>
        <v>0.18221230804999999</v>
      </c>
      <c r="N115" s="175">
        <f t="shared" si="21"/>
        <v>0.18221230804999999</v>
      </c>
      <c r="O115" s="10"/>
      <c r="P115" s="10"/>
      <c r="Q115" s="10"/>
    </row>
    <row r="116" spans="1:17" ht="13" outlineLevel="4" x14ac:dyDescent="0.3">
      <c r="A116" s="174" t="s">
        <v>159</v>
      </c>
      <c r="B116" s="175">
        <v>0.19693230805</v>
      </c>
      <c r="C116" s="175">
        <v>0.19693230805</v>
      </c>
      <c r="D116" s="175">
        <v>0.19325230804999999</v>
      </c>
      <c r="E116" s="175">
        <v>0.19325230804999999</v>
      </c>
      <c r="F116" s="175">
        <v>0.19325230804999999</v>
      </c>
      <c r="G116" s="175">
        <v>0.18957230805</v>
      </c>
      <c r="H116" s="175">
        <v>0.18957230805</v>
      </c>
      <c r="I116" s="175">
        <v>0.18957230805</v>
      </c>
      <c r="J116" s="175">
        <v>0.18589230805000001</v>
      </c>
      <c r="K116" s="175">
        <v>0.18589230805000001</v>
      </c>
      <c r="L116" s="175">
        <v>0.18589230805000001</v>
      </c>
      <c r="M116" s="175">
        <v>0.18221230804999999</v>
      </c>
      <c r="N116" s="175">
        <v>0.18221230804999999</v>
      </c>
      <c r="O116" s="10"/>
      <c r="P116" s="10"/>
      <c r="Q116" s="10"/>
    </row>
    <row r="117" spans="1:17" ht="13" outlineLevel="3" x14ac:dyDescent="0.3">
      <c r="A117" s="176" t="s">
        <v>163</v>
      </c>
      <c r="B117" s="175">
        <f t="shared" ref="B117:N117" si="22">SUM(B$118:B$119)</f>
        <v>1.5249999999999999</v>
      </c>
      <c r="C117" s="175">
        <f t="shared" si="22"/>
        <v>1.5249999999999999</v>
      </c>
      <c r="D117" s="175">
        <f t="shared" si="22"/>
        <v>1.5249999999999999</v>
      </c>
      <c r="E117" s="175">
        <f t="shared" si="22"/>
        <v>1.5249999999999999</v>
      </c>
      <c r="F117" s="175">
        <f t="shared" si="22"/>
        <v>1.5249999999999999</v>
      </c>
      <c r="G117" s="175">
        <f t="shared" si="22"/>
        <v>1.5249999999999999</v>
      </c>
      <c r="H117" s="175">
        <f t="shared" si="22"/>
        <v>1.5249999999999999</v>
      </c>
      <c r="I117" s="175">
        <f t="shared" si="22"/>
        <v>1.5249999999999999</v>
      </c>
      <c r="J117" s="175">
        <f t="shared" si="22"/>
        <v>0.82499999999999996</v>
      </c>
      <c r="K117" s="175">
        <f t="shared" si="22"/>
        <v>0.82499999999999996</v>
      </c>
      <c r="L117" s="175">
        <f t="shared" si="22"/>
        <v>0.82499999999999996</v>
      </c>
      <c r="M117" s="175">
        <f t="shared" si="22"/>
        <v>0.82499999999999996</v>
      </c>
      <c r="N117" s="175">
        <f t="shared" si="22"/>
        <v>0.82499999999999996</v>
      </c>
      <c r="O117" s="10"/>
      <c r="P117" s="10"/>
      <c r="Q117" s="10"/>
    </row>
    <row r="118" spans="1:17" ht="13" outlineLevel="4" x14ac:dyDescent="0.3">
      <c r="A118" s="174" t="s">
        <v>164</v>
      </c>
      <c r="B118" s="175">
        <v>0.7</v>
      </c>
      <c r="C118" s="175">
        <v>0.7</v>
      </c>
      <c r="D118" s="175">
        <v>0.7</v>
      </c>
      <c r="E118" s="175">
        <v>0.7</v>
      </c>
      <c r="F118" s="175">
        <v>0.7</v>
      </c>
      <c r="G118" s="175">
        <v>0.7</v>
      </c>
      <c r="H118" s="175">
        <v>0.7</v>
      </c>
      <c r="I118" s="175">
        <v>0.7</v>
      </c>
      <c r="J118" s="175">
        <v>0</v>
      </c>
      <c r="K118" s="175">
        <v>0</v>
      </c>
      <c r="L118" s="175">
        <v>0</v>
      </c>
      <c r="M118" s="175">
        <v>0</v>
      </c>
      <c r="N118" s="175">
        <v>0</v>
      </c>
      <c r="O118" s="10"/>
      <c r="P118" s="10"/>
      <c r="Q118" s="10"/>
    </row>
    <row r="119" spans="1:17" ht="13" outlineLevel="4" x14ac:dyDescent="0.3">
      <c r="A119" s="174" t="s">
        <v>165</v>
      </c>
      <c r="B119" s="175">
        <v>0.82499999999999996</v>
      </c>
      <c r="C119" s="175">
        <v>0.82499999999999996</v>
      </c>
      <c r="D119" s="175">
        <v>0.82499999999999996</v>
      </c>
      <c r="E119" s="175">
        <v>0.82499999999999996</v>
      </c>
      <c r="F119" s="175">
        <v>0.82499999999999996</v>
      </c>
      <c r="G119" s="175">
        <v>0.82499999999999996</v>
      </c>
      <c r="H119" s="175">
        <v>0.82499999999999996</v>
      </c>
      <c r="I119" s="175">
        <v>0.82499999999999996</v>
      </c>
      <c r="J119" s="175">
        <v>0.82499999999999996</v>
      </c>
      <c r="K119" s="175">
        <v>0.82499999999999996</v>
      </c>
      <c r="L119" s="175">
        <v>0.82499999999999996</v>
      </c>
      <c r="M119" s="175">
        <v>0.82499999999999996</v>
      </c>
      <c r="N119" s="175">
        <v>0.82499999999999996</v>
      </c>
      <c r="O119" s="10"/>
      <c r="P119" s="10"/>
      <c r="Q119" s="10"/>
    </row>
    <row r="120" spans="1:17" ht="13" outlineLevel="3" x14ac:dyDescent="0.3">
      <c r="A120" s="176" t="s">
        <v>137</v>
      </c>
      <c r="B120" s="175">
        <f t="shared" ref="B120:N120" si="23">SUM(B$121:B$121)</f>
        <v>0.10927014026</v>
      </c>
      <c r="C120" s="175">
        <f t="shared" si="23"/>
        <v>0.10831032356</v>
      </c>
      <c r="D120" s="175">
        <f t="shared" si="23"/>
        <v>0.10812138624000001</v>
      </c>
      <c r="E120" s="175">
        <f t="shared" si="23"/>
        <v>0.10783506897</v>
      </c>
      <c r="F120" s="175">
        <f t="shared" si="23"/>
        <v>0.10733665890999999</v>
      </c>
      <c r="G120" s="175">
        <f t="shared" si="23"/>
        <v>0.10779353781999999</v>
      </c>
      <c r="H120" s="175">
        <f t="shared" si="23"/>
        <v>0.10712615125</v>
      </c>
      <c r="I120" s="175">
        <f t="shared" si="23"/>
        <v>0.10819118963</v>
      </c>
      <c r="J120" s="175">
        <f t="shared" si="23"/>
        <v>0.10967213742</v>
      </c>
      <c r="K120" s="175">
        <f t="shared" si="23"/>
        <v>0.11046753646</v>
      </c>
      <c r="L120" s="175">
        <f t="shared" si="23"/>
        <v>0.10845282387000001</v>
      </c>
      <c r="M120" s="175">
        <f t="shared" si="23"/>
        <v>0.10725989952999999</v>
      </c>
      <c r="N120" s="175">
        <f t="shared" si="23"/>
        <v>0.10621316801</v>
      </c>
      <c r="O120" s="10"/>
      <c r="P120" s="10"/>
      <c r="Q120" s="10"/>
    </row>
    <row r="121" spans="1:17" ht="13" outlineLevel="4" x14ac:dyDescent="0.3">
      <c r="A121" s="174" t="s">
        <v>104</v>
      </c>
      <c r="B121" s="175">
        <v>0.10927014026</v>
      </c>
      <c r="C121" s="175">
        <v>0.10831032356</v>
      </c>
      <c r="D121" s="175">
        <v>0.10812138624000001</v>
      </c>
      <c r="E121" s="175">
        <v>0.10783506897</v>
      </c>
      <c r="F121" s="175">
        <v>0.10733665890999999</v>
      </c>
      <c r="G121" s="175">
        <v>0.10779353781999999</v>
      </c>
      <c r="H121" s="175">
        <v>0.10712615125</v>
      </c>
      <c r="I121" s="175">
        <v>0.10819118963</v>
      </c>
      <c r="J121" s="175">
        <v>0.10967213742</v>
      </c>
      <c r="K121" s="175">
        <v>0.11046753646</v>
      </c>
      <c r="L121" s="175">
        <v>0.10845282387000001</v>
      </c>
      <c r="M121" s="175">
        <v>0.10725989952999999</v>
      </c>
      <c r="N121" s="175">
        <v>0.10621316801</v>
      </c>
      <c r="O121" s="10"/>
      <c r="P121" s="10"/>
      <c r="Q121" s="10"/>
    </row>
    <row r="122" spans="1:17" x14ac:dyDescent="0.25">
      <c r="B122" s="9"/>
      <c r="C122" s="9"/>
      <c r="D122" s="9"/>
      <c r="E122" s="9"/>
      <c r="F122" s="9"/>
      <c r="G122" s="9"/>
      <c r="H122" s="9"/>
      <c r="I122" s="9"/>
      <c r="J122" s="9"/>
      <c r="K122" s="9"/>
      <c r="L122" s="9"/>
      <c r="M122" s="9"/>
      <c r="N122" s="9"/>
      <c r="O122" s="10"/>
      <c r="P122" s="10"/>
      <c r="Q122" s="10"/>
    </row>
    <row r="123" spans="1:17" x14ac:dyDescent="0.25">
      <c r="B123" s="9"/>
      <c r="C123" s="9"/>
      <c r="D123" s="9"/>
      <c r="E123" s="9"/>
      <c r="F123" s="9"/>
      <c r="G123" s="9"/>
      <c r="H123" s="9"/>
      <c r="I123" s="9"/>
      <c r="J123" s="9"/>
      <c r="K123" s="9"/>
      <c r="L123" s="9"/>
      <c r="M123" s="9"/>
      <c r="N123" s="9"/>
      <c r="O123" s="10"/>
      <c r="P123" s="10"/>
      <c r="Q123" s="10"/>
    </row>
    <row r="124" spans="1:17" x14ac:dyDescent="0.25">
      <c r="B124" s="9"/>
      <c r="C124" s="9"/>
      <c r="D124" s="9"/>
      <c r="E124" s="9"/>
      <c r="F124" s="9"/>
      <c r="G124" s="9"/>
      <c r="H124" s="9"/>
      <c r="I124" s="9"/>
      <c r="J124" s="9"/>
      <c r="K124" s="9"/>
      <c r="L124" s="9"/>
      <c r="M124" s="9"/>
      <c r="N124" s="9"/>
      <c r="O124" s="10"/>
      <c r="P124" s="10"/>
      <c r="Q124" s="10"/>
    </row>
    <row r="125" spans="1:17" x14ac:dyDescent="0.25">
      <c r="B125" s="9"/>
      <c r="C125" s="9"/>
      <c r="D125" s="9"/>
      <c r="E125" s="9"/>
      <c r="F125" s="9"/>
      <c r="G125" s="9"/>
      <c r="H125" s="9"/>
      <c r="I125" s="9"/>
      <c r="J125" s="9"/>
      <c r="K125" s="9"/>
      <c r="L125" s="9"/>
      <c r="M125" s="9"/>
      <c r="N125" s="9"/>
      <c r="O125" s="10"/>
      <c r="P125" s="10"/>
      <c r="Q125" s="10"/>
    </row>
    <row r="126" spans="1:17" x14ac:dyDescent="0.25">
      <c r="B126" s="9"/>
      <c r="C126" s="9"/>
      <c r="D126" s="9"/>
      <c r="E126" s="9"/>
      <c r="F126" s="9"/>
      <c r="G126" s="9"/>
      <c r="H126" s="9"/>
      <c r="I126" s="9"/>
      <c r="J126" s="9"/>
      <c r="K126" s="9"/>
      <c r="L126" s="9"/>
      <c r="M126" s="9"/>
      <c r="N126" s="9"/>
      <c r="O126" s="10"/>
      <c r="P126" s="10"/>
      <c r="Q126" s="10"/>
    </row>
    <row r="127" spans="1:17" x14ac:dyDescent="0.25">
      <c r="B127" s="9"/>
      <c r="C127" s="9"/>
      <c r="D127" s="9"/>
      <c r="E127" s="9"/>
      <c r="F127" s="9"/>
      <c r="G127" s="9"/>
      <c r="H127" s="9"/>
      <c r="I127" s="9"/>
      <c r="J127" s="9"/>
      <c r="K127" s="9"/>
      <c r="L127" s="9"/>
      <c r="M127" s="9"/>
      <c r="N127" s="9"/>
      <c r="O127" s="10"/>
      <c r="P127" s="10"/>
      <c r="Q127" s="10"/>
    </row>
    <row r="128" spans="1:17" x14ac:dyDescent="0.25">
      <c r="B128" s="9"/>
      <c r="C128" s="9"/>
      <c r="D128" s="9"/>
      <c r="E128" s="9"/>
      <c r="F128" s="9"/>
      <c r="G128" s="9"/>
      <c r="H128" s="9"/>
      <c r="I128" s="9"/>
      <c r="J128" s="9"/>
      <c r="K128" s="9"/>
      <c r="L128" s="9"/>
      <c r="M128" s="9"/>
      <c r="N128" s="9"/>
      <c r="O128" s="10"/>
      <c r="P128" s="10"/>
      <c r="Q128" s="10"/>
    </row>
    <row r="129" spans="2:17" x14ac:dyDescent="0.25">
      <c r="B129" s="9"/>
      <c r="C129" s="9"/>
      <c r="D129" s="9"/>
      <c r="E129" s="9"/>
      <c r="F129" s="9"/>
      <c r="G129" s="9"/>
      <c r="H129" s="9"/>
      <c r="I129" s="9"/>
      <c r="J129" s="9"/>
      <c r="K129" s="9"/>
      <c r="L129" s="9"/>
      <c r="M129" s="9"/>
      <c r="N129" s="9"/>
      <c r="O129" s="10"/>
      <c r="P129" s="10"/>
      <c r="Q129" s="10"/>
    </row>
    <row r="130" spans="2:17" x14ac:dyDescent="0.25">
      <c r="B130" s="9"/>
      <c r="C130" s="9"/>
      <c r="D130" s="9"/>
      <c r="E130" s="9"/>
      <c r="F130" s="9"/>
      <c r="G130" s="9"/>
      <c r="H130" s="9"/>
      <c r="I130" s="9"/>
      <c r="J130" s="9"/>
      <c r="K130" s="9"/>
      <c r="L130" s="9"/>
      <c r="M130" s="9"/>
      <c r="N130" s="9"/>
      <c r="O130" s="10"/>
      <c r="P130" s="10"/>
      <c r="Q130" s="10"/>
    </row>
    <row r="131" spans="2:17" x14ac:dyDescent="0.25">
      <c r="B131" s="9"/>
      <c r="C131" s="9"/>
      <c r="D131" s="9"/>
      <c r="E131" s="9"/>
      <c r="F131" s="9"/>
      <c r="G131" s="9"/>
      <c r="H131" s="9"/>
      <c r="I131" s="9"/>
      <c r="J131" s="9"/>
      <c r="K131" s="9"/>
      <c r="L131" s="9"/>
      <c r="M131" s="9"/>
      <c r="N131" s="9"/>
      <c r="O131" s="10"/>
      <c r="P131" s="10"/>
      <c r="Q131" s="10"/>
    </row>
    <row r="132" spans="2:17" x14ac:dyDescent="0.25">
      <c r="B132" s="9"/>
      <c r="C132" s="9"/>
      <c r="D132" s="9"/>
      <c r="E132" s="9"/>
      <c r="F132" s="9"/>
      <c r="G132" s="9"/>
      <c r="H132" s="9"/>
      <c r="I132" s="9"/>
      <c r="J132" s="9"/>
      <c r="K132" s="9"/>
      <c r="L132" s="9"/>
      <c r="M132" s="9"/>
      <c r="N132" s="9"/>
      <c r="O132" s="10"/>
      <c r="P132" s="10"/>
      <c r="Q132" s="10"/>
    </row>
    <row r="133" spans="2:17" x14ac:dyDescent="0.25">
      <c r="B133" s="9"/>
      <c r="C133" s="9"/>
      <c r="D133" s="9"/>
      <c r="E133" s="9"/>
      <c r="F133" s="9"/>
      <c r="G133" s="9"/>
      <c r="H133" s="9"/>
      <c r="I133" s="9"/>
      <c r="J133" s="9"/>
      <c r="K133" s="9"/>
      <c r="L133" s="9"/>
      <c r="M133" s="9"/>
      <c r="N133" s="9"/>
      <c r="O133" s="10"/>
      <c r="P133" s="10"/>
      <c r="Q133" s="10"/>
    </row>
    <row r="134" spans="2:17" x14ac:dyDescent="0.25">
      <c r="B134" s="9"/>
      <c r="C134" s="9"/>
      <c r="D134" s="9"/>
      <c r="E134" s="9"/>
      <c r="F134" s="9"/>
      <c r="G134" s="9"/>
      <c r="H134" s="9"/>
      <c r="I134" s="9"/>
      <c r="J134" s="9"/>
      <c r="K134" s="9"/>
      <c r="L134" s="9"/>
      <c r="M134" s="9"/>
      <c r="N134" s="9"/>
      <c r="O134" s="10"/>
      <c r="P134" s="10"/>
      <c r="Q134" s="10"/>
    </row>
    <row r="135" spans="2:17" x14ac:dyDescent="0.25">
      <c r="B135" s="9"/>
      <c r="C135" s="9"/>
      <c r="D135" s="9"/>
      <c r="E135" s="9"/>
      <c r="F135" s="9"/>
      <c r="G135" s="9"/>
      <c r="H135" s="9"/>
      <c r="I135" s="9"/>
      <c r="J135" s="9"/>
      <c r="K135" s="9"/>
      <c r="L135" s="9"/>
      <c r="M135" s="9"/>
      <c r="N135" s="9"/>
      <c r="O135" s="10"/>
      <c r="P135" s="10"/>
      <c r="Q135" s="10"/>
    </row>
    <row r="136" spans="2:17" x14ac:dyDescent="0.25">
      <c r="B136" s="9"/>
      <c r="C136" s="9"/>
      <c r="D136" s="9"/>
      <c r="E136" s="9"/>
      <c r="F136" s="9"/>
      <c r="G136" s="9"/>
      <c r="H136" s="9"/>
      <c r="I136" s="9"/>
      <c r="J136" s="9"/>
      <c r="K136" s="9"/>
      <c r="L136" s="9"/>
      <c r="M136" s="9"/>
      <c r="N136" s="9"/>
      <c r="O136" s="10"/>
      <c r="P136" s="10"/>
      <c r="Q136" s="10"/>
    </row>
    <row r="137" spans="2:17" x14ac:dyDescent="0.25">
      <c r="B137" s="9"/>
      <c r="C137" s="9"/>
      <c r="D137" s="9"/>
      <c r="E137" s="9"/>
      <c r="F137" s="9"/>
      <c r="G137" s="9"/>
      <c r="H137" s="9"/>
      <c r="I137" s="9"/>
      <c r="J137" s="9"/>
      <c r="K137" s="9"/>
      <c r="L137" s="9"/>
      <c r="M137" s="9"/>
      <c r="N137" s="9"/>
      <c r="O137" s="10"/>
      <c r="P137" s="10"/>
      <c r="Q137" s="10"/>
    </row>
    <row r="138" spans="2:17" x14ac:dyDescent="0.25">
      <c r="B138" s="9"/>
      <c r="C138" s="9"/>
      <c r="D138" s="9"/>
      <c r="E138" s="9"/>
      <c r="F138" s="9"/>
      <c r="G138" s="9"/>
      <c r="H138" s="9"/>
      <c r="I138" s="9"/>
      <c r="J138" s="9"/>
      <c r="K138" s="9"/>
      <c r="L138" s="9"/>
      <c r="M138" s="9"/>
      <c r="N138" s="9"/>
      <c r="O138" s="10"/>
      <c r="P138" s="10"/>
      <c r="Q138" s="10"/>
    </row>
    <row r="139" spans="2:17" x14ac:dyDescent="0.25">
      <c r="B139" s="9"/>
      <c r="C139" s="9"/>
      <c r="D139" s="9"/>
      <c r="E139" s="9"/>
      <c r="F139" s="9"/>
      <c r="G139" s="9"/>
      <c r="H139" s="9"/>
      <c r="I139" s="9"/>
      <c r="J139" s="9"/>
      <c r="K139" s="9"/>
      <c r="L139" s="9"/>
      <c r="M139" s="9"/>
      <c r="N139" s="9"/>
      <c r="O139" s="10"/>
      <c r="P139" s="10"/>
      <c r="Q139" s="10"/>
    </row>
    <row r="140" spans="2:17" x14ac:dyDescent="0.25">
      <c r="B140" s="9"/>
      <c r="C140" s="9"/>
      <c r="D140" s="9"/>
      <c r="E140" s="9"/>
      <c r="F140" s="9"/>
      <c r="G140" s="9"/>
      <c r="H140" s="9"/>
      <c r="I140" s="9"/>
      <c r="J140" s="9"/>
      <c r="K140" s="9"/>
      <c r="L140" s="9"/>
      <c r="M140" s="9"/>
      <c r="N140" s="9"/>
      <c r="O140" s="10"/>
      <c r="P140" s="10"/>
      <c r="Q140" s="10"/>
    </row>
    <row r="141" spans="2:17" x14ac:dyDescent="0.25">
      <c r="B141" s="9"/>
      <c r="C141" s="9"/>
      <c r="D141" s="9"/>
      <c r="E141" s="9"/>
      <c r="F141" s="9"/>
      <c r="G141" s="9"/>
      <c r="H141" s="9"/>
      <c r="I141" s="9"/>
      <c r="J141" s="9"/>
      <c r="K141" s="9"/>
      <c r="L141" s="9"/>
      <c r="M141" s="9"/>
      <c r="N141" s="9"/>
      <c r="O141" s="10"/>
      <c r="P141" s="10"/>
      <c r="Q141" s="10"/>
    </row>
    <row r="142" spans="2:17" x14ac:dyDescent="0.25">
      <c r="B142" s="9"/>
      <c r="C142" s="9"/>
      <c r="D142" s="9"/>
      <c r="E142" s="9"/>
      <c r="F142" s="9"/>
      <c r="G142" s="9"/>
      <c r="H142" s="9"/>
      <c r="I142" s="9"/>
      <c r="J142" s="9"/>
      <c r="K142" s="9"/>
      <c r="L142" s="9"/>
      <c r="M142" s="9"/>
      <c r="N142" s="9"/>
      <c r="O142" s="10"/>
      <c r="P142" s="10"/>
      <c r="Q142" s="10"/>
    </row>
    <row r="143" spans="2:17" x14ac:dyDescent="0.25">
      <c r="B143" s="9"/>
      <c r="C143" s="9"/>
      <c r="D143" s="9"/>
      <c r="E143" s="9"/>
      <c r="F143" s="9"/>
      <c r="G143" s="9"/>
      <c r="H143" s="9"/>
      <c r="I143" s="9"/>
      <c r="J143" s="9"/>
      <c r="K143" s="9"/>
      <c r="L143" s="9"/>
      <c r="M143" s="9"/>
      <c r="N143" s="9"/>
      <c r="O143" s="10"/>
      <c r="P143" s="10"/>
      <c r="Q143" s="10"/>
    </row>
    <row r="144" spans="2:17" x14ac:dyDescent="0.25">
      <c r="B144" s="9"/>
      <c r="C144" s="9"/>
      <c r="D144" s="9"/>
      <c r="E144" s="9"/>
      <c r="F144" s="9"/>
      <c r="G144" s="9"/>
      <c r="H144" s="9"/>
      <c r="I144" s="9"/>
      <c r="J144" s="9"/>
      <c r="K144" s="9"/>
      <c r="L144" s="9"/>
      <c r="M144" s="9"/>
      <c r="N144" s="9"/>
      <c r="O144" s="10"/>
      <c r="P144" s="10"/>
      <c r="Q144" s="10"/>
    </row>
    <row r="145" spans="2:17" x14ac:dyDescent="0.25">
      <c r="B145" s="9"/>
      <c r="C145" s="9"/>
      <c r="D145" s="9"/>
      <c r="E145" s="9"/>
      <c r="F145" s="9"/>
      <c r="G145" s="9"/>
      <c r="H145" s="9"/>
      <c r="I145" s="9"/>
      <c r="J145" s="9"/>
      <c r="K145" s="9"/>
      <c r="L145" s="9"/>
      <c r="M145" s="9"/>
      <c r="N145" s="9"/>
      <c r="O145" s="10"/>
      <c r="P145" s="10"/>
      <c r="Q145" s="10"/>
    </row>
    <row r="146" spans="2:17" x14ac:dyDescent="0.25">
      <c r="B146" s="9"/>
      <c r="C146" s="9"/>
      <c r="D146" s="9"/>
      <c r="E146" s="9"/>
      <c r="F146" s="9"/>
      <c r="G146" s="9"/>
      <c r="H146" s="9"/>
      <c r="I146" s="9"/>
      <c r="J146" s="9"/>
      <c r="K146" s="9"/>
      <c r="L146" s="9"/>
      <c r="M146" s="9"/>
      <c r="N146" s="9"/>
      <c r="O146" s="10"/>
      <c r="P146" s="10"/>
      <c r="Q146" s="10"/>
    </row>
    <row r="147" spans="2:17" x14ac:dyDescent="0.25">
      <c r="B147" s="9"/>
      <c r="C147" s="9"/>
      <c r="D147" s="9"/>
      <c r="E147" s="9"/>
      <c r="F147" s="9"/>
      <c r="G147" s="9"/>
      <c r="H147" s="9"/>
      <c r="I147" s="9"/>
      <c r="J147" s="9"/>
      <c r="K147" s="9"/>
      <c r="L147" s="9"/>
      <c r="M147" s="9"/>
      <c r="N147" s="9"/>
      <c r="O147" s="10"/>
      <c r="P147" s="10"/>
      <c r="Q147" s="10"/>
    </row>
    <row r="148" spans="2:17" x14ac:dyDescent="0.25">
      <c r="B148" s="9"/>
      <c r="C148" s="9"/>
      <c r="D148" s="9"/>
      <c r="E148" s="9"/>
      <c r="F148" s="9"/>
      <c r="G148" s="9"/>
      <c r="H148" s="9"/>
      <c r="I148" s="9"/>
      <c r="J148" s="9"/>
      <c r="K148" s="9"/>
      <c r="L148" s="9"/>
      <c r="M148" s="9"/>
      <c r="N148" s="9"/>
      <c r="O148" s="10"/>
      <c r="P148" s="10"/>
      <c r="Q148" s="10"/>
    </row>
    <row r="149" spans="2:17" x14ac:dyDescent="0.25">
      <c r="B149" s="9"/>
      <c r="C149" s="9"/>
      <c r="D149" s="9"/>
      <c r="E149" s="9"/>
      <c r="F149" s="9"/>
      <c r="G149" s="9"/>
      <c r="H149" s="9"/>
      <c r="I149" s="9"/>
      <c r="J149" s="9"/>
      <c r="K149" s="9"/>
      <c r="L149" s="9"/>
      <c r="M149" s="9"/>
      <c r="N149" s="9"/>
      <c r="O149" s="10"/>
      <c r="P149" s="10"/>
      <c r="Q149" s="10"/>
    </row>
    <row r="150" spans="2:17" x14ac:dyDescent="0.25">
      <c r="B150" s="9"/>
      <c r="C150" s="9"/>
      <c r="D150" s="9"/>
      <c r="E150" s="9"/>
      <c r="F150" s="9"/>
      <c r="G150" s="9"/>
      <c r="H150" s="9"/>
      <c r="I150" s="9"/>
      <c r="J150" s="9"/>
      <c r="K150" s="9"/>
      <c r="L150" s="9"/>
      <c r="M150" s="9"/>
      <c r="N150" s="9"/>
      <c r="O150" s="10"/>
      <c r="P150" s="10"/>
      <c r="Q150" s="10"/>
    </row>
    <row r="151" spans="2:17" x14ac:dyDescent="0.25">
      <c r="B151" s="9"/>
      <c r="C151" s="9"/>
      <c r="D151" s="9"/>
      <c r="E151" s="9"/>
      <c r="F151" s="9"/>
      <c r="G151" s="9"/>
      <c r="H151" s="9"/>
      <c r="I151" s="9"/>
      <c r="J151" s="9"/>
      <c r="K151" s="9"/>
      <c r="L151" s="9"/>
      <c r="M151" s="9"/>
      <c r="N151" s="9"/>
      <c r="O151" s="10"/>
      <c r="P151" s="10"/>
      <c r="Q151" s="10"/>
    </row>
    <row r="152" spans="2:17" x14ac:dyDescent="0.25">
      <c r="B152" s="9"/>
      <c r="C152" s="9"/>
      <c r="D152" s="9"/>
      <c r="E152" s="9"/>
      <c r="F152" s="9"/>
      <c r="G152" s="9"/>
      <c r="H152" s="9"/>
      <c r="I152" s="9"/>
      <c r="J152" s="9"/>
      <c r="K152" s="9"/>
      <c r="L152" s="9"/>
      <c r="M152" s="9"/>
      <c r="N152" s="9"/>
      <c r="O152" s="10"/>
      <c r="P152" s="10"/>
      <c r="Q152" s="10"/>
    </row>
    <row r="153" spans="2:17" x14ac:dyDescent="0.25">
      <c r="B153" s="9"/>
      <c r="C153" s="9"/>
      <c r="D153" s="9"/>
      <c r="E153" s="9"/>
      <c r="F153" s="9"/>
      <c r="G153" s="9"/>
      <c r="H153" s="9"/>
      <c r="I153" s="9"/>
      <c r="J153" s="9"/>
      <c r="K153" s="9"/>
      <c r="L153" s="9"/>
      <c r="M153" s="9"/>
      <c r="N153" s="9"/>
      <c r="O153" s="10"/>
      <c r="P153" s="10"/>
      <c r="Q153" s="10"/>
    </row>
    <row r="154" spans="2:17" x14ac:dyDescent="0.25">
      <c r="B154" s="9"/>
      <c r="C154" s="9"/>
      <c r="D154" s="9"/>
      <c r="E154" s="9"/>
      <c r="F154" s="9"/>
      <c r="G154" s="9"/>
      <c r="H154" s="9"/>
      <c r="I154" s="9"/>
      <c r="J154" s="9"/>
      <c r="K154" s="9"/>
      <c r="L154" s="9"/>
      <c r="M154" s="9"/>
      <c r="N154" s="9"/>
      <c r="O154" s="10"/>
      <c r="P154" s="10"/>
      <c r="Q154" s="10"/>
    </row>
    <row r="155" spans="2:17" x14ac:dyDescent="0.25">
      <c r="B155" s="9"/>
      <c r="C155" s="9"/>
      <c r="D155" s="9"/>
      <c r="E155" s="9"/>
      <c r="F155" s="9"/>
      <c r="G155" s="9"/>
      <c r="H155" s="9"/>
      <c r="I155" s="9"/>
      <c r="J155" s="9"/>
      <c r="K155" s="9"/>
      <c r="L155" s="9"/>
      <c r="M155" s="9"/>
      <c r="N155" s="9"/>
      <c r="O155" s="10"/>
      <c r="P155" s="10"/>
      <c r="Q155" s="10"/>
    </row>
    <row r="156" spans="2:17" x14ac:dyDescent="0.25">
      <c r="B156" s="9"/>
      <c r="C156" s="9"/>
      <c r="D156" s="9"/>
      <c r="E156" s="9"/>
      <c r="F156" s="9"/>
      <c r="G156" s="9"/>
      <c r="H156" s="9"/>
      <c r="I156" s="9"/>
      <c r="J156" s="9"/>
      <c r="K156" s="9"/>
      <c r="L156" s="9"/>
      <c r="M156" s="9"/>
      <c r="N156" s="9"/>
      <c r="O156" s="10"/>
      <c r="P156" s="10"/>
      <c r="Q156" s="10"/>
    </row>
    <row r="157" spans="2:17" x14ac:dyDescent="0.25">
      <c r="B157" s="9"/>
      <c r="C157" s="9"/>
      <c r="D157" s="9"/>
      <c r="E157" s="9"/>
      <c r="F157" s="9"/>
      <c r="G157" s="9"/>
      <c r="H157" s="9"/>
      <c r="I157" s="9"/>
      <c r="J157" s="9"/>
      <c r="K157" s="9"/>
      <c r="L157" s="9"/>
      <c r="M157" s="9"/>
      <c r="N157" s="9"/>
      <c r="O157" s="10"/>
      <c r="P157" s="10"/>
      <c r="Q157" s="10"/>
    </row>
    <row r="158" spans="2:17" x14ac:dyDescent="0.25">
      <c r="B158" s="9"/>
      <c r="C158" s="9"/>
      <c r="D158" s="9"/>
      <c r="E158" s="9"/>
      <c r="F158" s="9"/>
      <c r="G158" s="9"/>
      <c r="H158" s="9"/>
      <c r="I158" s="9"/>
      <c r="J158" s="9"/>
      <c r="K158" s="9"/>
      <c r="L158" s="9"/>
      <c r="M158" s="9"/>
      <c r="N158" s="9"/>
      <c r="O158" s="10"/>
      <c r="P158" s="10"/>
      <c r="Q158" s="10"/>
    </row>
    <row r="159" spans="2:17" x14ac:dyDescent="0.25">
      <c r="B159" s="9"/>
      <c r="C159" s="9"/>
      <c r="D159" s="9"/>
      <c r="E159" s="9"/>
      <c r="F159" s="9"/>
      <c r="G159" s="9"/>
      <c r="H159" s="9"/>
      <c r="I159" s="9"/>
      <c r="J159" s="9"/>
      <c r="K159" s="9"/>
      <c r="L159" s="9"/>
      <c r="M159" s="9"/>
      <c r="N159" s="9"/>
      <c r="O159" s="10"/>
      <c r="P159" s="10"/>
      <c r="Q159" s="10"/>
    </row>
    <row r="160" spans="2:17" x14ac:dyDescent="0.25">
      <c r="B160" s="9"/>
      <c r="C160" s="9"/>
      <c r="D160" s="9"/>
      <c r="E160" s="9"/>
      <c r="F160" s="9"/>
      <c r="G160" s="9"/>
      <c r="H160" s="9"/>
      <c r="I160" s="9"/>
      <c r="J160" s="9"/>
      <c r="K160" s="9"/>
      <c r="L160" s="9"/>
      <c r="M160" s="9"/>
      <c r="N160" s="9"/>
      <c r="O160" s="10"/>
      <c r="P160" s="10"/>
      <c r="Q160" s="10"/>
    </row>
    <row r="161" spans="2:17" x14ac:dyDescent="0.25">
      <c r="B161" s="9"/>
      <c r="C161" s="9"/>
      <c r="D161" s="9"/>
      <c r="E161" s="9"/>
      <c r="F161" s="9"/>
      <c r="G161" s="9"/>
      <c r="H161" s="9"/>
      <c r="I161" s="9"/>
      <c r="J161" s="9"/>
      <c r="K161" s="9"/>
      <c r="L161" s="9"/>
      <c r="M161" s="9"/>
      <c r="N161" s="9"/>
      <c r="O161" s="10"/>
      <c r="P161" s="10"/>
      <c r="Q161" s="10"/>
    </row>
    <row r="162" spans="2:17" x14ac:dyDescent="0.25">
      <c r="B162" s="9"/>
      <c r="C162" s="9"/>
      <c r="D162" s="9"/>
      <c r="E162" s="9"/>
      <c r="F162" s="9"/>
      <c r="G162" s="9"/>
      <c r="H162" s="9"/>
      <c r="I162" s="9"/>
      <c r="J162" s="9"/>
      <c r="K162" s="9"/>
      <c r="L162" s="9"/>
      <c r="M162" s="9"/>
      <c r="N162" s="9"/>
      <c r="O162" s="10"/>
      <c r="P162" s="10"/>
      <c r="Q162" s="10"/>
    </row>
    <row r="163" spans="2:17" x14ac:dyDescent="0.25">
      <c r="B163" s="9"/>
      <c r="C163" s="9"/>
      <c r="D163" s="9"/>
      <c r="E163" s="9"/>
      <c r="F163" s="9"/>
      <c r="G163" s="9"/>
      <c r="H163" s="9"/>
      <c r="I163" s="9"/>
      <c r="J163" s="9"/>
      <c r="K163" s="9"/>
      <c r="L163" s="9"/>
      <c r="M163" s="9"/>
      <c r="N163" s="9"/>
      <c r="O163" s="10"/>
      <c r="P163" s="10"/>
      <c r="Q163" s="10"/>
    </row>
    <row r="164" spans="2:17" x14ac:dyDescent="0.25">
      <c r="B164" s="9"/>
      <c r="C164" s="9"/>
      <c r="D164" s="9"/>
      <c r="E164" s="9"/>
      <c r="F164" s="9"/>
      <c r="G164" s="9"/>
      <c r="H164" s="9"/>
      <c r="I164" s="9"/>
      <c r="J164" s="9"/>
      <c r="K164" s="9"/>
      <c r="L164" s="9"/>
      <c r="M164" s="9"/>
      <c r="N164" s="9"/>
      <c r="O164" s="10"/>
      <c r="P164" s="10"/>
      <c r="Q164" s="10"/>
    </row>
    <row r="165" spans="2:17" x14ac:dyDescent="0.25">
      <c r="B165" s="9"/>
      <c r="C165" s="9"/>
      <c r="D165" s="9"/>
      <c r="E165" s="9"/>
      <c r="F165" s="9"/>
      <c r="G165" s="9"/>
      <c r="H165" s="9"/>
      <c r="I165" s="9"/>
      <c r="J165" s="9"/>
      <c r="K165" s="9"/>
      <c r="L165" s="9"/>
      <c r="M165" s="9"/>
      <c r="N165" s="9"/>
      <c r="O165" s="10"/>
      <c r="P165" s="10"/>
      <c r="Q165" s="10"/>
    </row>
    <row r="166" spans="2:17" x14ac:dyDescent="0.25">
      <c r="B166" s="9"/>
      <c r="C166" s="9"/>
      <c r="D166" s="9"/>
      <c r="E166" s="9"/>
      <c r="F166" s="9"/>
      <c r="G166" s="9"/>
      <c r="H166" s="9"/>
      <c r="I166" s="9"/>
      <c r="J166" s="9"/>
      <c r="K166" s="9"/>
      <c r="L166" s="9"/>
      <c r="M166" s="9"/>
      <c r="N166" s="9"/>
      <c r="O166" s="10"/>
      <c r="P166" s="10"/>
      <c r="Q166" s="10"/>
    </row>
    <row r="167" spans="2:17" x14ac:dyDescent="0.25">
      <c r="B167" s="9"/>
      <c r="C167" s="9"/>
      <c r="D167" s="9"/>
      <c r="E167" s="9"/>
      <c r="F167" s="9"/>
      <c r="G167" s="9"/>
      <c r="H167" s="9"/>
      <c r="I167" s="9"/>
      <c r="J167" s="9"/>
      <c r="K167" s="9"/>
      <c r="L167" s="9"/>
      <c r="M167" s="9"/>
      <c r="N167" s="9"/>
      <c r="O167" s="10"/>
      <c r="P167" s="10"/>
      <c r="Q167" s="10"/>
    </row>
    <row r="168" spans="2:17" x14ac:dyDescent="0.25">
      <c r="B168" s="9"/>
      <c r="C168" s="9"/>
      <c r="D168" s="9"/>
      <c r="E168" s="9"/>
      <c r="F168" s="9"/>
      <c r="G168" s="9"/>
      <c r="H168" s="9"/>
      <c r="I168" s="9"/>
      <c r="J168" s="9"/>
      <c r="K168" s="9"/>
      <c r="L168" s="9"/>
      <c r="M168" s="9"/>
      <c r="N168" s="9"/>
      <c r="O168" s="10"/>
      <c r="P168" s="10"/>
      <c r="Q168" s="10"/>
    </row>
    <row r="169" spans="2:17" x14ac:dyDescent="0.25">
      <c r="B169" s="9"/>
      <c r="C169" s="9"/>
      <c r="D169" s="9"/>
      <c r="E169" s="9"/>
      <c r="F169" s="9"/>
      <c r="G169" s="9"/>
      <c r="H169" s="9"/>
      <c r="I169" s="9"/>
      <c r="J169" s="9"/>
      <c r="K169" s="9"/>
      <c r="L169" s="9"/>
      <c r="M169" s="9"/>
      <c r="N169" s="9"/>
      <c r="O169" s="10"/>
      <c r="P169" s="10"/>
      <c r="Q169" s="10"/>
    </row>
    <row r="170" spans="2:17" x14ac:dyDescent="0.25">
      <c r="B170" s="9"/>
      <c r="C170" s="9"/>
      <c r="D170" s="9"/>
      <c r="E170" s="9"/>
      <c r="F170" s="9"/>
      <c r="G170" s="9"/>
      <c r="H170" s="9"/>
      <c r="I170" s="9"/>
      <c r="J170" s="9"/>
      <c r="K170" s="9"/>
      <c r="L170" s="9"/>
      <c r="M170" s="9"/>
      <c r="N170" s="9"/>
      <c r="O170" s="10"/>
      <c r="P170" s="10"/>
      <c r="Q170" s="10"/>
    </row>
    <row r="171" spans="2:17" x14ac:dyDescent="0.25">
      <c r="B171" s="9"/>
      <c r="C171" s="9"/>
      <c r="D171" s="9"/>
      <c r="E171" s="9"/>
      <c r="F171" s="9"/>
      <c r="G171" s="9"/>
      <c r="H171" s="9"/>
      <c r="I171" s="9"/>
      <c r="J171" s="9"/>
      <c r="K171" s="9"/>
      <c r="L171" s="9"/>
      <c r="M171" s="9"/>
      <c r="N171" s="9"/>
      <c r="O171" s="10"/>
      <c r="P171" s="10"/>
      <c r="Q171" s="10"/>
    </row>
    <row r="172" spans="2:17" x14ac:dyDescent="0.25">
      <c r="B172" s="9"/>
      <c r="C172" s="9"/>
      <c r="D172" s="9"/>
      <c r="E172" s="9"/>
      <c r="F172" s="9"/>
      <c r="G172" s="9"/>
      <c r="H172" s="9"/>
      <c r="I172" s="9"/>
      <c r="J172" s="9"/>
      <c r="K172" s="9"/>
      <c r="L172" s="9"/>
      <c r="M172" s="9"/>
      <c r="N172" s="9"/>
      <c r="O172" s="10"/>
      <c r="P172" s="10"/>
      <c r="Q172" s="10"/>
    </row>
    <row r="173" spans="2:17" x14ac:dyDescent="0.25">
      <c r="B173" s="9"/>
      <c r="C173" s="9"/>
      <c r="D173" s="9"/>
      <c r="E173" s="9"/>
      <c r="F173" s="9"/>
      <c r="G173" s="9"/>
      <c r="H173" s="9"/>
      <c r="I173" s="9"/>
      <c r="J173" s="9"/>
      <c r="K173" s="9"/>
      <c r="L173" s="9"/>
      <c r="M173" s="9"/>
      <c r="N173" s="9"/>
      <c r="O173" s="10"/>
      <c r="P173" s="10"/>
      <c r="Q173" s="10"/>
    </row>
    <row r="174" spans="2:17" x14ac:dyDescent="0.25">
      <c r="B174" s="9"/>
      <c r="C174" s="9"/>
      <c r="D174" s="9"/>
      <c r="E174" s="9"/>
      <c r="F174" s="9"/>
      <c r="G174" s="9"/>
      <c r="H174" s="9"/>
      <c r="I174" s="9"/>
      <c r="J174" s="9"/>
      <c r="K174" s="9"/>
      <c r="L174" s="9"/>
      <c r="M174" s="9"/>
      <c r="N174" s="9"/>
      <c r="O174" s="10"/>
      <c r="P174" s="10"/>
      <c r="Q174" s="10"/>
    </row>
    <row r="175" spans="2:17" x14ac:dyDescent="0.25">
      <c r="B175" s="9"/>
      <c r="C175" s="9"/>
      <c r="D175" s="9"/>
      <c r="E175" s="9"/>
      <c r="F175" s="9"/>
      <c r="G175" s="9"/>
      <c r="H175" s="9"/>
      <c r="I175" s="9"/>
      <c r="J175" s="9"/>
      <c r="K175" s="9"/>
      <c r="L175" s="9"/>
      <c r="M175" s="9"/>
      <c r="N175" s="9"/>
      <c r="O175" s="10"/>
      <c r="P175" s="10"/>
      <c r="Q175" s="10"/>
    </row>
    <row r="176" spans="2:17" x14ac:dyDescent="0.25">
      <c r="B176" s="9"/>
      <c r="C176" s="9"/>
      <c r="D176" s="9"/>
      <c r="E176" s="9"/>
      <c r="F176" s="9"/>
      <c r="G176" s="9"/>
      <c r="H176" s="9"/>
      <c r="I176" s="9"/>
      <c r="J176" s="9"/>
      <c r="K176" s="9"/>
      <c r="L176" s="9"/>
      <c r="M176" s="9"/>
      <c r="N176" s="9"/>
      <c r="O176" s="10"/>
      <c r="P176" s="10"/>
      <c r="Q176" s="10"/>
    </row>
    <row r="177" spans="2:17" x14ac:dyDescent="0.25">
      <c r="B177" s="9"/>
      <c r="C177" s="9"/>
      <c r="D177" s="9"/>
      <c r="E177" s="9"/>
      <c r="F177" s="9"/>
      <c r="G177" s="9"/>
      <c r="H177" s="9"/>
      <c r="I177" s="9"/>
      <c r="J177" s="9"/>
      <c r="K177" s="9"/>
      <c r="L177" s="9"/>
      <c r="M177" s="9"/>
      <c r="N177" s="9"/>
      <c r="O177" s="10"/>
      <c r="P177" s="10"/>
      <c r="Q177" s="10"/>
    </row>
    <row r="178" spans="2:17" x14ac:dyDescent="0.25">
      <c r="B178" s="9"/>
      <c r="C178" s="9"/>
      <c r="D178" s="9"/>
      <c r="E178" s="9"/>
      <c r="F178" s="9"/>
      <c r="G178" s="9"/>
      <c r="H178" s="9"/>
      <c r="I178" s="9"/>
      <c r="J178" s="9"/>
      <c r="K178" s="9"/>
      <c r="L178" s="9"/>
      <c r="M178" s="9"/>
      <c r="N178" s="9"/>
      <c r="O178" s="10"/>
      <c r="P178" s="10"/>
      <c r="Q178" s="10"/>
    </row>
    <row r="179" spans="2:17" x14ac:dyDescent="0.25">
      <c r="B179" s="9"/>
      <c r="C179" s="9"/>
      <c r="D179" s="9"/>
      <c r="E179" s="9"/>
      <c r="F179" s="9"/>
      <c r="G179" s="9"/>
      <c r="H179" s="9"/>
      <c r="I179" s="9"/>
      <c r="J179" s="9"/>
      <c r="K179" s="9"/>
      <c r="L179" s="9"/>
      <c r="M179" s="9"/>
      <c r="N179" s="9"/>
      <c r="O179" s="10"/>
      <c r="P179" s="10"/>
      <c r="Q179" s="10"/>
    </row>
    <row r="180" spans="2:17" x14ac:dyDescent="0.25">
      <c r="B180" s="9"/>
      <c r="C180" s="9"/>
      <c r="D180" s="9"/>
      <c r="E180" s="9"/>
      <c r="F180" s="9"/>
      <c r="G180" s="9"/>
      <c r="H180" s="9"/>
      <c r="I180" s="9"/>
      <c r="J180" s="9"/>
      <c r="K180" s="9"/>
      <c r="L180" s="9"/>
      <c r="M180" s="9"/>
      <c r="N180" s="9"/>
      <c r="O180" s="10"/>
      <c r="P180" s="10"/>
      <c r="Q180" s="10"/>
    </row>
  </sheetData>
  <mergeCells count="1">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31.12.2024</v>
      </c>
      <c r="B2" s="280"/>
      <c r="C2" s="280"/>
      <c r="D2" s="280"/>
      <c r="E2" s="25"/>
      <c r="F2" s="25"/>
      <c r="G2" s="25"/>
      <c r="H2" s="25"/>
      <c r="I2" s="25"/>
      <c r="J2" s="25"/>
      <c r="K2" s="25"/>
      <c r="L2" s="25"/>
      <c r="M2" s="25"/>
      <c r="N2" s="25"/>
      <c r="O2" s="25"/>
      <c r="P2" s="25"/>
      <c r="Q2" s="25"/>
      <c r="R2" s="25"/>
      <c r="S2" s="25"/>
    </row>
    <row r="3" spans="1:19" ht="18.5" x14ac:dyDescent="0.45">
      <c r="A3" s="282" t="str">
        <f>IF(REPORT_LANG="UKR","(за типом кредитора)","by borrowing market (creditors)")</f>
        <v>(за типом кредитора)</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1"/>
      <c r="B6" s="142" t="str">
        <f>IF(REPORT_LANG="UKR","дол.США","USD")</f>
        <v>дол.США</v>
      </c>
      <c r="C6" s="142" t="str">
        <f>IF(REPORT_LANG="UKR","грн.","UAH")</f>
        <v>грн.</v>
      </c>
      <c r="D6" s="68" t="s">
        <v>0</v>
      </c>
    </row>
    <row r="7" spans="1:19" s="14" customFormat="1" ht="15.5" x14ac:dyDescent="0.25">
      <c r="A7" s="144" t="str">
        <f>DEBT_TOTAL</f>
        <v>Загальна сума державного та гарантованого державою боргу</v>
      </c>
      <c r="B7" s="120">
        <f>B$8+B$59</f>
        <v>166.05851744312002</v>
      </c>
      <c r="C7" s="120">
        <f>C$8+C$59</f>
        <v>6980.9340147853909</v>
      </c>
      <c r="D7" s="121">
        <f>D$8+D$59</f>
        <v>0.99999600000000033</v>
      </c>
    </row>
    <row r="8" spans="1:19" s="15" customFormat="1" ht="14.5" outlineLevel="1" x14ac:dyDescent="0.25">
      <c r="A8" s="189" t="s">
        <v>57</v>
      </c>
      <c r="B8" s="190">
        <f>B$9+B$44</f>
        <v>45.968971226080015</v>
      </c>
      <c r="C8" s="190">
        <f>C$9+C$44</f>
        <v>1932.4895813634391</v>
      </c>
      <c r="D8" s="191">
        <f>D$9+D$44</f>
        <v>0.27682100000000021</v>
      </c>
    </row>
    <row r="9" spans="1:19" s="16" customFormat="1" ht="14.5" outlineLevel="2" x14ac:dyDescent="0.25">
      <c r="A9" s="104" t="s">
        <v>1</v>
      </c>
      <c r="B9" s="105">
        <f>B$10+B$42</f>
        <v>44.319135028530013</v>
      </c>
      <c r="C9" s="105">
        <f>C$10+C$42</f>
        <v>1863.132117454179</v>
      </c>
      <c r="D9" s="106">
        <f>D$10+D$42</f>
        <v>0.26688800000000018</v>
      </c>
    </row>
    <row r="10" spans="1:19" s="17" customFormat="1" ht="14" outlineLevel="3" x14ac:dyDescent="0.25">
      <c r="A10" s="207" t="s">
        <v>58</v>
      </c>
      <c r="B10" s="208">
        <f>SUM(B$11:B$41)</f>
        <v>44.284529596720013</v>
      </c>
      <c r="C10" s="208">
        <f>SUM(C$11:C$41)</f>
        <v>1861.6773397063989</v>
      </c>
      <c r="D10" s="209">
        <f>SUM(D$11:D$41)</f>
        <v>0.26668000000000019</v>
      </c>
    </row>
    <row r="11" spans="1:19" outlineLevel="4" x14ac:dyDescent="0.3">
      <c r="A11" s="195" t="s">
        <v>59</v>
      </c>
      <c r="B11" s="196">
        <v>1.39466778468</v>
      </c>
      <c r="C11" s="196">
        <v>58.630439000000003</v>
      </c>
      <c r="D11" s="107">
        <v>8.3990000000000002E-3</v>
      </c>
      <c r="E11" s="25"/>
      <c r="F11" s="25"/>
      <c r="G11" s="25"/>
      <c r="H11" s="25"/>
      <c r="I11" s="25"/>
      <c r="J11" s="25"/>
      <c r="K11" s="25"/>
      <c r="L11" s="25"/>
      <c r="M11" s="25"/>
      <c r="N11" s="25"/>
      <c r="O11" s="25"/>
      <c r="P11" s="25"/>
      <c r="Q11" s="25"/>
    </row>
    <row r="12" spans="1:19" outlineLevel="4" x14ac:dyDescent="0.3">
      <c r="A12" s="174" t="s">
        <v>60</v>
      </c>
      <c r="B12" s="175">
        <v>0.41706510620999998</v>
      </c>
      <c r="C12" s="175">
        <v>17.533000000000001</v>
      </c>
      <c r="D12" s="197">
        <v>2.5119999999999999E-3</v>
      </c>
      <c r="E12" s="25"/>
      <c r="F12" s="25"/>
      <c r="G12" s="25"/>
      <c r="H12" s="25"/>
      <c r="I12" s="25"/>
      <c r="J12" s="25"/>
      <c r="K12" s="25"/>
      <c r="L12" s="25"/>
      <c r="M12" s="25"/>
      <c r="N12" s="25"/>
      <c r="O12" s="25"/>
      <c r="P12" s="25"/>
      <c r="Q12" s="25"/>
    </row>
    <row r="13" spans="1:19" outlineLevel="4" x14ac:dyDescent="0.3">
      <c r="A13" s="174" t="s">
        <v>61</v>
      </c>
      <c r="B13" s="175">
        <v>9.0706825079999998E-2</v>
      </c>
      <c r="C13" s="175">
        <v>3.8132242193999999</v>
      </c>
      <c r="D13" s="197">
        <v>5.4600000000000004E-4</v>
      </c>
      <c r="E13" s="25"/>
      <c r="F13" s="25"/>
      <c r="G13" s="25"/>
      <c r="H13" s="25"/>
      <c r="I13" s="25"/>
      <c r="J13" s="25"/>
      <c r="K13" s="25"/>
      <c r="L13" s="25"/>
      <c r="M13" s="25"/>
      <c r="N13" s="25"/>
      <c r="O13" s="25"/>
      <c r="P13" s="25"/>
      <c r="Q13" s="25"/>
    </row>
    <row r="14" spans="1:19" outlineLevel="4" x14ac:dyDescent="0.3">
      <c r="A14" s="174" t="s">
        <v>62</v>
      </c>
      <c r="B14" s="175">
        <v>1.18937177385</v>
      </c>
      <c r="C14" s="175">
        <v>50</v>
      </c>
      <c r="D14" s="197">
        <v>7.162E-3</v>
      </c>
      <c r="E14" s="25"/>
      <c r="F14" s="25"/>
      <c r="G14" s="25"/>
      <c r="H14" s="25"/>
      <c r="I14" s="25"/>
      <c r="J14" s="25"/>
      <c r="K14" s="25"/>
      <c r="L14" s="25"/>
      <c r="M14" s="25"/>
      <c r="N14" s="25"/>
      <c r="O14" s="25"/>
      <c r="P14" s="25"/>
      <c r="Q14" s="25"/>
    </row>
    <row r="15" spans="1:19" outlineLevel="4" x14ac:dyDescent="0.3">
      <c r="A15" s="174" t="s">
        <v>63</v>
      </c>
      <c r="B15" s="175">
        <v>0.80163659936999998</v>
      </c>
      <c r="C15" s="175">
        <v>33.700001</v>
      </c>
      <c r="D15" s="197">
        <v>4.8269999999999997E-3</v>
      </c>
      <c r="E15" s="25"/>
      <c r="F15" s="25"/>
      <c r="G15" s="25"/>
      <c r="H15" s="25"/>
      <c r="I15" s="25"/>
      <c r="J15" s="25"/>
      <c r="K15" s="25"/>
      <c r="L15" s="25"/>
      <c r="M15" s="25"/>
      <c r="N15" s="25"/>
      <c r="O15" s="25"/>
      <c r="P15" s="25"/>
      <c r="Q15" s="25"/>
    </row>
    <row r="16" spans="1:19" outlineLevel="4" x14ac:dyDescent="0.3">
      <c r="A16" s="174" t="s">
        <v>64</v>
      </c>
      <c r="B16" s="175">
        <v>1.1156307239000001</v>
      </c>
      <c r="C16" s="175">
        <v>46.9</v>
      </c>
      <c r="D16" s="197">
        <v>6.718E-3</v>
      </c>
      <c r="E16" s="25"/>
      <c r="F16" s="25"/>
      <c r="G16" s="25"/>
      <c r="H16" s="25"/>
      <c r="I16" s="25"/>
      <c r="J16" s="25"/>
      <c r="K16" s="25"/>
      <c r="L16" s="25"/>
      <c r="M16" s="25"/>
      <c r="N16" s="25"/>
      <c r="O16" s="25"/>
      <c r="P16" s="25"/>
      <c r="Q16" s="25"/>
    </row>
    <row r="17" spans="1:17" outlineLevel="4" x14ac:dyDescent="0.3">
      <c r="A17" s="174" t="s">
        <v>65</v>
      </c>
      <c r="B17" s="175">
        <v>5.3641408454299997</v>
      </c>
      <c r="C17" s="175">
        <v>225.503117</v>
      </c>
      <c r="D17" s="197">
        <v>3.2302999999999998E-2</v>
      </c>
      <c r="E17" s="25"/>
      <c r="F17" s="25"/>
      <c r="G17" s="25"/>
      <c r="H17" s="25"/>
      <c r="I17" s="25"/>
      <c r="J17" s="25"/>
      <c r="K17" s="25"/>
      <c r="L17" s="25"/>
      <c r="M17" s="25"/>
      <c r="N17" s="25"/>
      <c r="O17" s="25"/>
      <c r="P17" s="25"/>
      <c r="Q17" s="25"/>
    </row>
    <row r="18" spans="1:17" outlineLevel="4" x14ac:dyDescent="0.3">
      <c r="A18" s="174" t="s">
        <v>66</v>
      </c>
      <c r="B18" s="175">
        <v>0.28777430481999999</v>
      </c>
      <c r="C18" s="175">
        <v>12.097744</v>
      </c>
      <c r="D18" s="197">
        <v>1.7329999999999999E-3</v>
      </c>
      <c r="E18" s="25"/>
      <c r="F18" s="25"/>
      <c r="G18" s="25"/>
      <c r="H18" s="25"/>
      <c r="I18" s="25"/>
      <c r="J18" s="25"/>
      <c r="K18" s="25"/>
      <c r="L18" s="25"/>
      <c r="M18" s="25"/>
      <c r="N18" s="25"/>
      <c r="O18" s="25"/>
      <c r="P18" s="25"/>
      <c r="Q18" s="25"/>
    </row>
    <row r="19" spans="1:17" outlineLevel="4" x14ac:dyDescent="0.3">
      <c r="A19" s="174" t="s">
        <v>67</v>
      </c>
      <c r="B19" s="175">
        <v>0.64458583697000005</v>
      </c>
      <c r="C19" s="175">
        <v>27.097743999999999</v>
      </c>
      <c r="D19" s="197">
        <v>3.882E-3</v>
      </c>
      <c r="E19" s="25"/>
      <c r="F19" s="25"/>
      <c r="G19" s="25"/>
      <c r="H19" s="25"/>
      <c r="I19" s="25"/>
      <c r="J19" s="25"/>
      <c r="K19" s="25"/>
      <c r="L19" s="25"/>
      <c r="M19" s="25"/>
      <c r="N19" s="25"/>
      <c r="O19" s="25"/>
      <c r="P19" s="25"/>
      <c r="Q19" s="25"/>
    </row>
    <row r="20" spans="1:17" outlineLevel="4" x14ac:dyDescent="0.3">
      <c r="A20" s="174" t="s">
        <v>68</v>
      </c>
      <c r="B20" s="175">
        <v>6.77509038007</v>
      </c>
      <c r="C20" s="175">
        <v>284.818024487</v>
      </c>
      <c r="D20" s="197">
        <v>4.0799000000000002E-2</v>
      </c>
      <c r="E20" s="25"/>
      <c r="F20" s="25"/>
      <c r="G20" s="25"/>
      <c r="H20" s="25"/>
      <c r="I20" s="25"/>
      <c r="J20" s="25"/>
      <c r="K20" s="25"/>
      <c r="L20" s="25"/>
      <c r="M20" s="25"/>
      <c r="N20" s="25"/>
      <c r="O20" s="25"/>
      <c r="P20" s="25"/>
      <c r="Q20" s="25"/>
    </row>
    <row r="21" spans="1:17" outlineLevel="4" x14ac:dyDescent="0.3">
      <c r="A21" s="174" t="s">
        <v>69</v>
      </c>
      <c r="B21" s="175">
        <v>0.28777430481999999</v>
      </c>
      <c r="C21" s="175">
        <v>12.097744</v>
      </c>
      <c r="D21" s="197">
        <v>1.7329999999999999E-3</v>
      </c>
      <c r="E21" s="25"/>
      <c r="F21" s="25"/>
      <c r="G21" s="25"/>
      <c r="H21" s="25"/>
      <c r="I21" s="25"/>
      <c r="J21" s="25"/>
      <c r="K21" s="25"/>
      <c r="L21" s="25"/>
      <c r="M21" s="25"/>
      <c r="N21" s="25"/>
      <c r="O21" s="25"/>
      <c r="P21" s="25"/>
      <c r="Q21" s="25"/>
    </row>
    <row r="22" spans="1:17" outlineLevel="4" x14ac:dyDescent="0.3">
      <c r="A22" s="174" t="s">
        <v>70</v>
      </c>
      <c r="B22" s="175">
        <v>0.28777430481999999</v>
      </c>
      <c r="C22" s="175">
        <v>12.097744</v>
      </c>
      <c r="D22" s="197">
        <v>1.7329999999999999E-3</v>
      </c>
      <c r="E22" s="25"/>
      <c r="F22" s="25"/>
      <c r="G22" s="25"/>
      <c r="H22" s="25"/>
      <c r="I22" s="25"/>
      <c r="J22" s="25"/>
      <c r="K22" s="25"/>
      <c r="L22" s="25"/>
      <c r="M22" s="25"/>
      <c r="N22" s="25"/>
      <c r="O22" s="25"/>
      <c r="P22" s="25"/>
      <c r="Q22" s="25"/>
    </row>
    <row r="23" spans="1:17" outlineLevel="4" x14ac:dyDescent="0.3">
      <c r="A23" s="174" t="s">
        <v>71</v>
      </c>
      <c r="B23" s="175">
        <v>6.7944584315099998</v>
      </c>
      <c r="C23" s="175">
        <v>285.63223799999997</v>
      </c>
      <c r="D23" s="197">
        <v>4.0916000000000001E-2</v>
      </c>
      <c r="E23" s="25"/>
      <c r="F23" s="25"/>
      <c r="G23" s="25"/>
      <c r="H23" s="25"/>
      <c r="I23" s="25"/>
      <c r="J23" s="25"/>
      <c r="K23" s="25"/>
      <c r="L23" s="25"/>
      <c r="M23" s="25"/>
      <c r="N23" s="25"/>
      <c r="O23" s="25"/>
      <c r="P23" s="25"/>
      <c r="Q23" s="25"/>
    </row>
    <row r="24" spans="1:17" outlineLevel="4" x14ac:dyDescent="0.3">
      <c r="A24" s="174" t="s">
        <v>72</v>
      </c>
      <c r="B24" s="175">
        <v>0.28777430481999999</v>
      </c>
      <c r="C24" s="175">
        <v>12.097744</v>
      </c>
      <c r="D24" s="197">
        <v>1.7329999999999999E-3</v>
      </c>
      <c r="E24" s="25"/>
      <c r="F24" s="25"/>
      <c r="G24" s="25"/>
      <c r="H24" s="25"/>
      <c r="I24" s="25"/>
      <c r="J24" s="25"/>
      <c r="K24" s="25"/>
      <c r="L24" s="25"/>
      <c r="M24" s="25"/>
      <c r="N24" s="25"/>
      <c r="O24" s="25"/>
      <c r="P24" s="25"/>
      <c r="Q24" s="25"/>
    </row>
    <row r="25" spans="1:17" outlineLevel="4" x14ac:dyDescent="0.3">
      <c r="A25" s="174" t="s">
        <v>73</v>
      </c>
      <c r="B25" s="175">
        <v>0.28777430481999999</v>
      </c>
      <c r="C25" s="175">
        <v>12.097744</v>
      </c>
      <c r="D25" s="197">
        <v>1.7329999999999999E-3</v>
      </c>
      <c r="E25" s="25"/>
      <c r="F25" s="25"/>
      <c r="G25" s="25"/>
      <c r="H25" s="25"/>
      <c r="I25" s="25"/>
      <c r="J25" s="25"/>
      <c r="K25" s="25"/>
      <c r="L25" s="25"/>
      <c r="M25" s="25"/>
      <c r="N25" s="25"/>
      <c r="O25" s="25"/>
      <c r="P25" s="25"/>
      <c r="Q25" s="25"/>
    </row>
    <row r="26" spans="1:17" outlineLevel="4" x14ac:dyDescent="0.3">
      <c r="A26" s="174" t="s">
        <v>74</v>
      </c>
      <c r="B26" s="175">
        <v>0.28777430481999999</v>
      </c>
      <c r="C26" s="175">
        <v>12.097744</v>
      </c>
      <c r="D26" s="197">
        <v>1.7329999999999999E-3</v>
      </c>
      <c r="E26" s="25"/>
      <c r="F26" s="25"/>
      <c r="G26" s="25"/>
      <c r="H26" s="25"/>
      <c r="I26" s="25"/>
      <c r="J26" s="25"/>
      <c r="K26" s="25"/>
      <c r="L26" s="25"/>
      <c r="M26" s="25"/>
      <c r="N26" s="25"/>
      <c r="O26" s="25"/>
      <c r="P26" s="25"/>
      <c r="Q26" s="25"/>
    </row>
    <row r="27" spans="1:17" outlineLevel="4" x14ac:dyDescent="0.3">
      <c r="A27" s="174" t="s">
        <v>75</v>
      </c>
      <c r="B27" s="175">
        <v>0.28777430481999999</v>
      </c>
      <c r="C27" s="175">
        <v>12.097744</v>
      </c>
      <c r="D27" s="197">
        <v>1.7329999999999999E-3</v>
      </c>
      <c r="E27" s="25"/>
      <c r="F27" s="25"/>
      <c r="G27" s="25"/>
      <c r="H27" s="25"/>
      <c r="I27" s="25"/>
      <c r="J27" s="25"/>
      <c r="K27" s="25"/>
      <c r="L27" s="25"/>
      <c r="M27" s="25"/>
      <c r="N27" s="25"/>
      <c r="O27" s="25"/>
      <c r="P27" s="25"/>
      <c r="Q27" s="25"/>
    </row>
    <row r="28" spans="1:17" outlineLevel="4" x14ac:dyDescent="0.3">
      <c r="A28" s="174" t="s">
        <v>76</v>
      </c>
      <c r="B28" s="175">
        <v>0.28777430481999999</v>
      </c>
      <c r="C28" s="175">
        <v>12.097744</v>
      </c>
      <c r="D28" s="197">
        <v>1.7329999999999999E-3</v>
      </c>
      <c r="E28" s="25"/>
      <c r="F28" s="25"/>
      <c r="G28" s="25"/>
      <c r="H28" s="25"/>
      <c r="I28" s="25"/>
      <c r="J28" s="25"/>
      <c r="K28" s="25"/>
      <c r="L28" s="25"/>
      <c r="M28" s="25"/>
      <c r="N28" s="25"/>
      <c r="O28" s="25"/>
      <c r="P28" s="25"/>
      <c r="Q28" s="25"/>
    </row>
    <row r="29" spans="1:17" outlineLevel="4" x14ac:dyDescent="0.3">
      <c r="A29" s="174" t="s">
        <v>77</v>
      </c>
      <c r="B29" s="175">
        <v>0.28777430481999999</v>
      </c>
      <c r="C29" s="175">
        <v>12.097744</v>
      </c>
      <c r="D29" s="197">
        <v>1.7329999999999999E-3</v>
      </c>
      <c r="E29" s="25"/>
      <c r="F29" s="25"/>
      <c r="G29" s="25"/>
      <c r="H29" s="25"/>
      <c r="I29" s="25"/>
      <c r="J29" s="25"/>
      <c r="K29" s="25"/>
      <c r="L29" s="25"/>
      <c r="M29" s="25"/>
      <c r="N29" s="25"/>
      <c r="O29" s="25"/>
      <c r="P29" s="25"/>
      <c r="Q29" s="25"/>
    </row>
    <row r="30" spans="1:17" outlineLevel="4" x14ac:dyDescent="0.3">
      <c r="A30" s="174" t="s">
        <v>78</v>
      </c>
      <c r="B30" s="175">
        <v>0.28777430481999999</v>
      </c>
      <c r="C30" s="175">
        <v>12.097744</v>
      </c>
      <c r="D30" s="197">
        <v>1.7329999999999999E-3</v>
      </c>
      <c r="E30" s="25"/>
      <c r="F30" s="25"/>
      <c r="G30" s="25"/>
      <c r="H30" s="25"/>
      <c r="I30" s="25"/>
      <c r="J30" s="25"/>
      <c r="K30" s="25"/>
      <c r="L30" s="25"/>
      <c r="M30" s="25"/>
      <c r="N30" s="25"/>
      <c r="O30" s="25"/>
      <c r="P30" s="25"/>
      <c r="Q30" s="25"/>
    </row>
    <row r="31" spans="1:17" outlineLevel="4" x14ac:dyDescent="0.3">
      <c r="A31" s="174" t="s">
        <v>79</v>
      </c>
      <c r="B31" s="175">
        <v>0.28777430481999999</v>
      </c>
      <c r="C31" s="175">
        <v>12.097744</v>
      </c>
      <c r="D31" s="197">
        <v>1.7329999999999999E-3</v>
      </c>
      <c r="E31" s="25"/>
      <c r="F31" s="25"/>
      <c r="G31" s="25"/>
      <c r="H31" s="25"/>
      <c r="I31" s="25"/>
      <c r="J31" s="25"/>
      <c r="K31" s="25"/>
      <c r="L31" s="25"/>
      <c r="M31" s="25"/>
      <c r="N31" s="25"/>
      <c r="O31" s="25"/>
      <c r="P31" s="25"/>
      <c r="Q31" s="25"/>
    </row>
    <row r="32" spans="1:17" outlineLevel="4" x14ac:dyDescent="0.3">
      <c r="A32" s="174" t="s">
        <v>80</v>
      </c>
      <c r="B32" s="175">
        <v>0.28777430481999999</v>
      </c>
      <c r="C32" s="175">
        <v>12.097744</v>
      </c>
      <c r="D32" s="197">
        <v>1.7329999999999999E-3</v>
      </c>
      <c r="E32" s="25"/>
      <c r="F32" s="25"/>
      <c r="G32" s="25"/>
      <c r="H32" s="25"/>
      <c r="I32" s="25"/>
      <c r="J32" s="25"/>
      <c r="K32" s="25"/>
      <c r="L32" s="25"/>
      <c r="M32" s="25"/>
      <c r="N32" s="25"/>
      <c r="O32" s="25"/>
      <c r="P32" s="25"/>
      <c r="Q32" s="25"/>
    </row>
    <row r="33" spans="1:17" outlineLevel="4" x14ac:dyDescent="0.3">
      <c r="A33" s="174" t="s">
        <v>81</v>
      </c>
      <c r="B33" s="175">
        <v>0.28777430481999999</v>
      </c>
      <c r="C33" s="175">
        <v>12.097744</v>
      </c>
      <c r="D33" s="197">
        <v>1.7329999999999999E-3</v>
      </c>
      <c r="E33" s="25"/>
      <c r="F33" s="25"/>
      <c r="G33" s="25"/>
      <c r="H33" s="25"/>
      <c r="I33" s="25"/>
      <c r="J33" s="25"/>
      <c r="K33" s="25"/>
      <c r="L33" s="25"/>
      <c r="M33" s="25"/>
      <c r="N33" s="25"/>
      <c r="O33" s="25"/>
      <c r="P33" s="25"/>
      <c r="Q33" s="25"/>
    </row>
    <row r="34" spans="1:17" outlineLevel="4" x14ac:dyDescent="0.3">
      <c r="A34" s="174" t="s">
        <v>83</v>
      </c>
      <c r="B34" s="175">
        <v>6.7689049215299999</v>
      </c>
      <c r="C34" s="175">
        <v>284.55799400000001</v>
      </c>
      <c r="D34" s="197">
        <v>4.0762E-2</v>
      </c>
      <c r="E34" s="25"/>
      <c r="F34" s="25"/>
      <c r="G34" s="25"/>
      <c r="H34" s="25"/>
      <c r="I34" s="25"/>
      <c r="J34" s="25"/>
      <c r="K34" s="25"/>
      <c r="L34" s="25"/>
      <c r="M34" s="25"/>
      <c r="N34" s="25"/>
      <c r="O34" s="25"/>
      <c r="P34" s="25"/>
      <c r="Q34" s="25"/>
    </row>
    <row r="35" spans="1:17" outlineLevel="4" x14ac:dyDescent="0.3">
      <c r="A35" s="174" t="s">
        <v>84</v>
      </c>
      <c r="B35" s="175">
        <v>6.1156961631</v>
      </c>
      <c r="C35" s="175">
        <v>257.09775100000002</v>
      </c>
      <c r="D35" s="197">
        <v>3.6829000000000001E-2</v>
      </c>
      <c r="E35" s="25"/>
      <c r="F35" s="25"/>
      <c r="G35" s="25"/>
      <c r="H35" s="25"/>
      <c r="I35" s="25"/>
      <c r="J35" s="25"/>
      <c r="K35" s="25"/>
      <c r="L35" s="25"/>
      <c r="M35" s="25"/>
      <c r="N35" s="25"/>
      <c r="O35" s="25"/>
      <c r="P35" s="25"/>
      <c r="Q35" s="25"/>
    </row>
    <row r="36" spans="1:17" outlineLevel="4" x14ac:dyDescent="0.3">
      <c r="A36" s="174" t="s">
        <v>85</v>
      </c>
      <c r="B36" s="175">
        <v>0.38516142152999999</v>
      </c>
      <c r="C36" s="175">
        <v>16.191801000000002</v>
      </c>
      <c r="D36" s="197">
        <v>2.3189999999999999E-3</v>
      </c>
      <c r="E36" s="25"/>
      <c r="F36" s="25"/>
      <c r="G36" s="25"/>
      <c r="H36" s="25"/>
      <c r="I36" s="25"/>
      <c r="J36" s="25"/>
      <c r="K36" s="25"/>
      <c r="L36" s="25"/>
      <c r="M36" s="25"/>
      <c r="N36" s="25"/>
      <c r="O36" s="25"/>
      <c r="P36" s="25"/>
      <c r="Q36" s="25"/>
    </row>
    <row r="37" spans="1:17" outlineLevel="4" x14ac:dyDescent="0.3">
      <c r="A37" s="174" t="s">
        <v>86</v>
      </c>
      <c r="B37" s="175">
        <v>1.09586897881</v>
      </c>
      <c r="C37" s="175">
        <v>46.069235999999997</v>
      </c>
      <c r="D37" s="197">
        <v>6.5989999999999998E-3</v>
      </c>
      <c r="E37" s="25"/>
      <c r="F37" s="25"/>
      <c r="G37" s="25"/>
      <c r="H37" s="25"/>
      <c r="I37" s="25"/>
      <c r="J37" s="25"/>
      <c r="K37" s="25"/>
      <c r="L37" s="25"/>
      <c r="M37" s="25"/>
      <c r="N37" s="25"/>
      <c r="O37" s="25"/>
      <c r="P37" s="25"/>
      <c r="Q37" s="25"/>
    </row>
    <row r="38" spans="1:17" outlineLevel="4" x14ac:dyDescent="0.3">
      <c r="A38" s="174" t="s">
        <v>88</v>
      </c>
      <c r="B38" s="175">
        <v>0.97719753088000005</v>
      </c>
      <c r="C38" s="175">
        <v>41.080407000000001</v>
      </c>
      <c r="D38" s="197">
        <v>5.8849999999999996E-3</v>
      </c>
      <c r="E38" s="25"/>
      <c r="F38" s="25"/>
      <c r="G38" s="25"/>
      <c r="H38" s="25"/>
      <c r="I38" s="25"/>
      <c r="J38" s="25"/>
      <c r="K38" s="25"/>
      <c r="L38" s="25"/>
      <c r="M38" s="25"/>
      <c r="N38" s="25"/>
      <c r="O38" s="25"/>
      <c r="P38" s="25"/>
      <c r="Q38" s="25"/>
    </row>
    <row r="39" spans="1:17" outlineLevel="4" x14ac:dyDescent="0.3">
      <c r="A39" s="174" t="s">
        <v>89</v>
      </c>
      <c r="B39" s="175">
        <v>0.42298082732999998</v>
      </c>
      <c r="C39" s="175">
        <v>17.781690999999999</v>
      </c>
      <c r="D39" s="197">
        <v>2.5469999999999998E-3</v>
      </c>
      <c r="E39" s="25"/>
      <c r="F39" s="25"/>
      <c r="G39" s="25"/>
      <c r="H39" s="25"/>
      <c r="I39" s="25"/>
      <c r="J39" s="25"/>
      <c r="K39" s="25"/>
      <c r="L39" s="25"/>
      <c r="M39" s="25"/>
      <c r="N39" s="25"/>
      <c r="O39" s="25"/>
      <c r="P39" s="25"/>
      <c r="Q39" s="25"/>
    </row>
    <row r="40" spans="1:17" outlineLevel="4" x14ac:dyDescent="0.3">
      <c r="A40" s="174" t="s">
        <v>90</v>
      </c>
      <c r="B40" s="175">
        <v>5.9468588689999997E-2</v>
      </c>
      <c r="C40" s="175">
        <v>2.5</v>
      </c>
      <c r="D40" s="197">
        <v>3.5799999999999997E-4</v>
      </c>
      <c r="E40" s="25"/>
      <c r="F40" s="25"/>
      <c r="G40" s="25"/>
      <c r="H40" s="25"/>
      <c r="I40" s="25"/>
      <c r="J40" s="25"/>
      <c r="K40" s="25"/>
      <c r="L40" s="25"/>
      <c r="M40" s="25"/>
      <c r="N40" s="25"/>
      <c r="O40" s="25"/>
      <c r="P40" s="25"/>
      <c r="Q40" s="25"/>
    </row>
    <row r="41" spans="1:17" outlineLevel="4" x14ac:dyDescent="0.3">
      <c r="A41" s="174" t="s">
        <v>92</v>
      </c>
      <c r="B41" s="175">
        <v>0.13083089512000001</v>
      </c>
      <c r="C41" s="175">
        <v>5.5</v>
      </c>
      <c r="D41" s="197">
        <v>7.8799999999999996E-4</v>
      </c>
      <c r="E41" s="25"/>
      <c r="F41" s="25"/>
      <c r="G41" s="25"/>
      <c r="H41" s="25"/>
      <c r="I41" s="25"/>
      <c r="J41" s="25"/>
      <c r="K41" s="25"/>
      <c r="L41" s="25"/>
      <c r="M41" s="25"/>
      <c r="N41" s="25"/>
      <c r="O41" s="25"/>
      <c r="P41" s="25"/>
      <c r="Q41" s="25"/>
    </row>
    <row r="42" spans="1:17" ht="14" outlineLevel="3" x14ac:dyDescent="0.35">
      <c r="A42" s="210" t="s">
        <v>93</v>
      </c>
      <c r="B42" s="211">
        <f>SUM(B$43:B$43)</f>
        <v>3.4605431809999997E-2</v>
      </c>
      <c r="C42" s="211">
        <f>SUM(C$43:C$43)</f>
        <v>1.4547777477799999</v>
      </c>
      <c r="D42" s="212">
        <f>SUM(D$43:D$43)</f>
        <v>2.0799999999999999E-4</v>
      </c>
      <c r="E42" s="25"/>
      <c r="F42" s="25"/>
      <c r="G42" s="25"/>
      <c r="H42" s="25"/>
      <c r="I42" s="25"/>
      <c r="J42" s="25"/>
      <c r="K42" s="25"/>
      <c r="L42" s="25"/>
      <c r="M42" s="25"/>
      <c r="N42" s="25"/>
      <c r="O42" s="25"/>
      <c r="P42" s="25"/>
      <c r="Q42" s="25"/>
    </row>
    <row r="43" spans="1:17" outlineLevel="4" x14ac:dyDescent="0.3">
      <c r="A43" s="174" t="s">
        <v>94</v>
      </c>
      <c r="B43" s="175">
        <v>3.4605431809999997E-2</v>
      </c>
      <c r="C43" s="175">
        <v>1.4547777477799999</v>
      </c>
      <c r="D43" s="197">
        <v>2.0799999999999999E-4</v>
      </c>
      <c r="E43" s="25"/>
      <c r="F43" s="25"/>
      <c r="G43" s="25"/>
      <c r="H43" s="25"/>
      <c r="I43" s="25"/>
      <c r="J43" s="25"/>
      <c r="K43" s="25"/>
      <c r="L43" s="25"/>
      <c r="M43" s="25"/>
      <c r="N43" s="25"/>
      <c r="O43" s="25"/>
      <c r="P43" s="25"/>
      <c r="Q43" s="25"/>
    </row>
    <row r="44" spans="1:17" ht="14.5" outlineLevel="2" x14ac:dyDescent="0.35">
      <c r="A44" s="201" t="s">
        <v>2</v>
      </c>
      <c r="B44" s="202">
        <f>B$45+B$49+B$57</f>
        <v>1.6498361975499998</v>
      </c>
      <c r="C44" s="202">
        <f>C$45+C$49+C$57</f>
        <v>69.357463909260005</v>
      </c>
      <c r="D44" s="203">
        <f>D$45+D$49+D$57</f>
        <v>9.9330000000000009E-3</v>
      </c>
      <c r="E44" s="25"/>
      <c r="F44" s="25"/>
      <c r="G44" s="25"/>
      <c r="H44" s="25"/>
      <c r="I44" s="25"/>
      <c r="J44" s="25"/>
      <c r="K44" s="25"/>
      <c r="L44" s="25"/>
      <c r="M44" s="25"/>
      <c r="N44" s="25"/>
      <c r="O44" s="25"/>
      <c r="P44" s="25"/>
      <c r="Q44" s="25"/>
    </row>
    <row r="45" spans="1:17" ht="14" outlineLevel="3" x14ac:dyDescent="0.35">
      <c r="A45" s="210" t="s">
        <v>58</v>
      </c>
      <c r="B45" s="211">
        <f>SUM(B$46:B$48)</f>
        <v>0.10644904969000001</v>
      </c>
      <c r="C45" s="211">
        <f>SUM(C$46:C$48)</f>
        <v>4.4750116000000002</v>
      </c>
      <c r="D45" s="212">
        <f>SUM(D$46:D$48)</f>
        <v>6.4100000000000008E-4</v>
      </c>
      <c r="E45" s="25"/>
      <c r="F45" s="25"/>
      <c r="G45" s="25"/>
      <c r="H45" s="25"/>
      <c r="I45" s="25"/>
      <c r="J45" s="25"/>
      <c r="K45" s="25"/>
      <c r="L45" s="25"/>
      <c r="M45" s="25"/>
      <c r="N45" s="25"/>
      <c r="O45" s="25"/>
      <c r="P45" s="25"/>
      <c r="Q45" s="25"/>
    </row>
    <row r="46" spans="1:17" outlineLevel="4" x14ac:dyDescent="0.3">
      <c r="A46" s="174" t="s">
        <v>138</v>
      </c>
      <c r="B46" s="175">
        <v>2.7593000000000001E-7</v>
      </c>
      <c r="C46" s="175">
        <v>1.1600000000000001E-5</v>
      </c>
      <c r="D46" s="197">
        <v>0</v>
      </c>
      <c r="E46" s="25"/>
      <c r="F46" s="25"/>
      <c r="G46" s="25"/>
      <c r="H46" s="25"/>
      <c r="I46" s="25"/>
      <c r="J46" s="25"/>
      <c r="K46" s="25"/>
      <c r="L46" s="25"/>
      <c r="M46" s="25"/>
      <c r="N46" s="25"/>
      <c r="O46" s="25"/>
      <c r="P46" s="25"/>
      <c r="Q46" s="25"/>
    </row>
    <row r="47" spans="1:17" outlineLevel="4" x14ac:dyDescent="0.3">
      <c r="A47" s="174" t="s">
        <v>139</v>
      </c>
      <c r="B47" s="175">
        <v>5.8873902810000003E-2</v>
      </c>
      <c r="C47" s="175">
        <v>2.4750000000000001</v>
      </c>
      <c r="D47" s="197">
        <v>3.5500000000000001E-4</v>
      </c>
      <c r="E47" s="25"/>
      <c r="F47" s="25"/>
      <c r="G47" s="25"/>
      <c r="H47" s="25"/>
      <c r="I47" s="25"/>
      <c r="J47" s="25"/>
      <c r="K47" s="25"/>
      <c r="L47" s="25"/>
      <c r="M47" s="25"/>
      <c r="N47" s="25"/>
      <c r="O47" s="25"/>
      <c r="P47" s="25"/>
      <c r="Q47" s="25"/>
    </row>
    <row r="48" spans="1:17" outlineLevel="4" x14ac:dyDescent="0.3">
      <c r="A48" s="174" t="s">
        <v>144</v>
      </c>
      <c r="B48" s="175">
        <v>4.7574870950000001E-2</v>
      </c>
      <c r="C48" s="175">
        <v>2</v>
      </c>
      <c r="D48" s="197">
        <v>2.8600000000000001E-4</v>
      </c>
      <c r="E48" s="25"/>
      <c r="F48" s="25"/>
      <c r="G48" s="25"/>
      <c r="H48" s="25"/>
      <c r="I48" s="25"/>
      <c r="J48" s="25"/>
      <c r="K48" s="25"/>
      <c r="L48" s="25"/>
      <c r="M48" s="25"/>
      <c r="N48" s="25"/>
      <c r="O48" s="25"/>
      <c r="P48" s="25"/>
      <c r="Q48" s="25"/>
    </row>
    <row r="49" spans="1:17" ht="14" outlineLevel="3" x14ac:dyDescent="0.35">
      <c r="A49" s="210" t="s">
        <v>93</v>
      </c>
      <c r="B49" s="211">
        <f>SUM(B$50:B$56)</f>
        <v>1.5433644391799999</v>
      </c>
      <c r="C49" s="211">
        <f>SUM(C$50:C$56)</f>
        <v>64.881497659260006</v>
      </c>
      <c r="D49" s="212">
        <f>SUM(D$50:D$56)</f>
        <v>9.2920000000000016E-3</v>
      </c>
      <c r="E49" s="25"/>
      <c r="F49" s="25"/>
      <c r="G49" s="25"/>
      <c r="H49" s="25"/>
      <c r="I49" s="25"/>
      <c r="J49" s="25"/>
      <c r="K49" s="25"/>
      <c r="L49" s="25"/>
      <c r="M49" s="25"/>
      <c r="N49" s="25"/>
      <c r="O49" s="25"/>
      <c r="P49" s="25"/>
      <c r="Q49" s="25"/>
    </row>
    <row r="50" spans="1:17" outlineLevel="4" x14ac:dyDescent="0.3">
      <c r="A50" s="174" t="s">
        <v>145</v>
      </c>
      <c r="B50" s="175">
        <v>6.2834343449999996E-2</v>
      </c>
      <c r="C50" s="175">
        <v>2.6414929643299998</v>
      </c>
      <c r="D50" s="197">
        <v>3.7800000000000003E-4</v>
      </c>
      <c r="E50" s="25"/>
      <c r="F50" s="25"/>
      <c r="G50" s="25"/>
      <c r="H50" s="25"/>
      <c r="I50" s="25"/>
      <c r="J50" s="25"/>
      <c r="K50" s="25"/>
      <c r="L50" s="25"/>
      <c r="M50" s="25"/>
      <c r="N50" s="25"/>
      <c r="O50" s="25"/>
      <c r="P50" s="25"/>
      <c r="Q50" s="25"/>
    </row>
    <row r="51" spans="1:17" outlineLevel="4" x14ac:dyDescent="0.3">
      <c r="A51" s="174" t="s">
        <v>146</v>
      </c>
      <c r="B51" s="175">
        <v>7.2222222400000003E-3</v>
      </c>
      <c r="C51" s="175">
        <v>0.30361500074999997</v>
      </c>
      <c r="D51" s="197">
        <v>4.3000000000000002E-5</v>
      </c>
      <c r="E51" s="25"/>
      <c r="F51" s="25"/>
      <c r="G51" s="25"/>
      <c r="H51" s="25"/>
      <c r="I51" s="25"/>
      <c r="J51" s="25"/>
      <c r="K51" s="25"/>
      <c r="L51" s="25"/>
      <c r="M51" s="25"/>
      <c r="N51" s="25"/>
      <c r="O51" s="25"/>
      <c r="P51" s="25"/>
      <c r="Q51" s="25"/>
    </row>
    <row r="52" spans="1:17" outlineLevel="4" x14ac:dyDescent="0.3">
      <c r="A52" s="174" t="s">
        <v>147</v>
      </c>
      <c r="B52" s="175">
        <v>0.35657922199999997</v>
      </c>
      <c r="C52" s="175">
        <v>14.99023391273</v>
      </c>
      <c r="D52" s="197">
        <v>2.147E-3</v>
      </c>
      <c r="E52" s="25"/>
      <c r="F52" s="25"/>
      <c r="G52" s="25"/>
      <c r="H52" s="25"/>
      <c r="I52" s="25"/>
      <c r="J52" s="25"/>
      <c r="K52" s="25"/>
      <c r="L52" s="25"/>
      <c r="M52" s="25"/>
      <c r="N52" s="25"/>
      <c r="O52" s="25"/>
      <c r="P52" s="25"/>
      <c r="Q52" s="25"/>
    </row>
    <row r="53" spans="1:17" outlineLevel="4" x14ac:dyDescent="0.3">
      <c r="A53" s="174" t="s">
        <v>148</v>
      </c>
      <c r="B53" s="175">
        <v>0.31541573540000001</v>
      </c>
      <c r="C53" s="175">
        <v>13.25976210098</v>
      </c>
      <c r="D53" s="197">
        <v>1.8990000000000001E-3</v>
      </c>
      <c r="E53" s="25"/>
      <c r="F53" s="25"/>
      <c r="G53" s="25"/>
      <c r="H53" s="25"/>
      <c r="I53" s="25"/>
      <c r="J53" s="25"/>
      <c r="K53" s="25"/>
      <c r="L53" s="25"/>
      <c r="M53" s="25"/>
      <c r="N53" s="25"/>
      <c r="O53" s="25"/>
      <c r="P53" s="25"/>
      <c r="Q53" s="25"/>
    </row>
    <row r="54" spans="1:17" outlineLevel="4" x14ac:dyDescent="0.3">
      <c r="A54" s="174" t="s">
        <v>149</v>
      </c>
      <c r="B54" s="175">
        <v>5.5555555199999999E-3</v>
      </c>
      <c r="C54" s="175">
        <v>0.23354999851</v>
      </c>
      <c r="D54" s="197">
        <v>3.3000000000000003E-5</v>
      </c>
      <c r="E54" s="25"/>
      <c r="F54" s="25"/>
      <c r="G54" s="25"/>
      <c r="H54" s="25"/>
      <c r="I54" s="25"/>
      <c r="J54" s="25"/>
      <c r="K54" s="25"/>
      <c r="L54" s="25"/>
      <c r="M54" s="25"/>
      <c r="N54" s="25"/>
      <c r="O54" s="25"/>
      <c r="P54" s="25"/>
      <c r="Q54" s="25"/>
    </row>
    <row r="55" spans="1:17" outlineLevel="4" x14ac:dyDescent="0.3">
      <c r="A55" s="174" t="s">
        <v>150</v>
      </c>
      <c r="B55" s="175">
        <v>7.77777776E-3</v>
      </c>
      <c r="C55" s="175">
        <v>0.32696999924999998</v>
      </c>
      <c r="D55" s="197">
        <v>4.6999999999999997E-5</v>
      </c>
      <c r="E55" s="25"/>
      <c r="F55" s="25"/>
      <c r="G55" s="25"/>
      <c r="H55" s="25"/>
      <c r="I55" s="25"/>
      <c r="J55" s="25"/>
      <c r="K55" s="25"/>
      <c r="L55" s="25"/>
      <c r="M55" s="25"/>
      <c r="N55" s="25"/>
      <c r="O55" s="25"/>
      <c r="P55" s="25"/>
      <c r="Q55" s="25"/>
    </row>
    <row r="56" spans="1:17" outlineLevel="4" x14ac:dyDescent="0.3">
      <c r="A56" s="174" t="s">
        <v>153</v>
      </c>
      <c r="B56" s="175">
        <v>0.78797958281000002</v>
      </c>
      <c r="C56" s="175">
        <v>33.125873682710001</v>
      </c>
      <c r="D56" s="197">
        <v>4.7450000000000001E-3</v>
      </c>
      <c r="E56" s="25"/>
      <c r="F56" s="25"/>
      <c r="G56" s="25"/>
      <c r="H56" s="25"/>
      <c r="I56" s="25"/>
      <c r="J56" s="25"/>
      <c r="K56" s="25"/>
      <c r="L56" s="25"/>
      <c r="M56" s="25"/>
      <c r="N56" s="25"/>
      <c r="O56" s="25"/>
      <c r="P56" s="25"/>
      <c r="Q56" s="25"/>
    </row>
    <row r="57" spans="1:17" ht="14" outlineLevel="3" x14ac:dyDescent="0.35">
      <c r="A57" s="210" t="s">
        <v>154</v>
      </c>
      <c r="B57" s="211">
        <f>SUM(B$58:B$58)</f>
        <v>2.270868E-5</v>
      </c>
      <c r="C57" s="211">
        <f>SUM(C$58:C$58)</f>
        <v>9.5465000000000003E-4</v>
      </c>
      <c r="D57" s="212">
        <f>SUM(D$58:D$58)</f>
        <v>0</v>
      </c>
      <c r="E57" s="25"/>
      <c r="F57" s="25"/>
      <c r="G57" s="25"/>
      <c r="H57" s="25"/>
      <c r="I57" s="25"/>
      <c r="J57" s="25"/>
      <c r="K57" s="25"/>
      <c r="L57" s="25"/>
      <c r="M57" s="25"/>
      <c r="N57" s="25"/>
      <c r="O57" s="25"/>
      <c r="P57" s="25"/>
      <c r="Q57" s="25"/>
    </row>
    <row r="58" spans="1:17" outlineLevel="4" x14ac:dyDescent="0.3">
      <c r="A58" s="174" t="s">
        <v>155</v>
      </c>
      <c r="B58" s="175">
        <v>2.270868E-5</v>
      </c>
      <c r="C58" s="175">
        <v>9.5465000000000003E-4</v>
      </c>
      <c r="D58" s="197">
        <v>0</v>
      </c>
      <c r="E58" s="25"/>
      <c r="F58" s="25"/>
      <c r="G58" s="25"/>
      <c r="H58" s="25"/>
      <c r="I58" s="25"/>
      <c r="J58" s="25"/>
      <c r="K58" s="25"/>
      <c r="L58" s="25"/>
      <c r="M58" s="25"/>
      <c r="N58" s="25"/>
      <c r="O58" s="25"/>
      <c r="P58" s="25"/>
      <c r="Q58" s="25"/>
    </row>
    <row r="59" spans="1:17" ht="14.5" outlineLevel="1" x14ac:dyDescent="0.35">
      <c r="A59" s="204" t="s">
        <v>95</v>
      </c>
      <c r="B59" s="205">
        <f>B$60+B$97</f>
        <v>120.08954621704001</v>
      </c>
      <c r="C59" s="205">
        <f>C$60+C$97</f>
        <v>5048.4444334219515</v>
      </c>
      <c r="D59" s="206">
        <f>D$60+D$97</f>
        <v>0.72317500000000012</v>
      </c>
      <c r="E59" s="25"/>
      <c r="F59" s="25"/>
      <c r="G59" s="25"/>
      <c r="H59" s="25"/>
      <c r="I59" s="25"/>
      <c r="J59" s="25"/>
      <c r="K59" s="25"/>
      <c r="L59" s="25"/>
      <c r="M59" s="25"/>
      <c r="N59" s="25"/>
      <c r="O59" s="25"/>
      <c r="P59" s="25"/>
      <c r="Q59" s="25"/>
    </row>
    <row r="60" spans="1:17" ht="14.5" outlineLevel="2" x14ac:dyDescent="0.35">
      <c r="A60" s="201" t="s">
        <v>1</v>
      </c>
      <c r="B60" s="202">
        <f>B$61+B$71+B$82+B$84+B$91+B$93+B$95</f>
        <v>114.87644301746001</v>
      </c>
      <c r="C60" s="202">
        <f>C$61+C$71+C$82+C$84+C$91+C$93+C$95</f>
        <v>4829.2907880136017</v>
      </c>
      <c r="D60" s="203">
        <f>D$61+D$71+D$82+D$84+D$91+D$93+D$95</f>
        <v>0.69178200000000012</v>
      </c>
      <c r="E60" s="25"/>
      <c r="F60" s="25"/>
      <c r="G60" s="25"/>
      <c r="H60" s="25"/>
      <c r="I60" s="25"/>
      <c r="J60" s="25"/>
      <c r="K60" s="25"/>
      <c r="L60" s="25"/>
      <c r="M60" s="25"/>
      <c r="N60" s="25"/>
      <c r="O60" s="25"/>
      <c r="P60" s="25"/>
      <c r="Q60" s="25"/>
    </row>
    <row r="61" spans="1:17" ht="14" outlineLevel="3" x14ac:dyDescent="0.35">
      <c r="A61" s="210" t="s">
        <v>96</v>
      </c>
      <c r="B61" s="211">
        <f>SUM(B$62:B$70)</f>
        <v>82.827489272820003</v>
      </c>
      <c r="C61" s="211">
        <f>SUM(C$62:C$70)</f>
        <v>3481.9848215421307</v>
      </c>
      <c r="D61" s="212">
        <f>SUM(D$62:D$70)</f>
        <v>0.49878600000000006</v>
      </c>
      <c r="E61" s="25"/>
      <c r="F61" s="25"/>
      <c r="G61" s="25"/>
      <c r="H61" s="25"/>
      <c r="I61" s="25"/>
      <c r="J61" s="25"/>
      <c r="K61" s="25"/>
      <c r="L61" s="25"/>
      <c r="M61" s="25"/>
      <c r="N61" s="25"/>
      <c r="O61" s="25"/>
      <c r="P61" s="25"/>
      <c r="Q61" s="25"/>
    </row>
    <row r="62" spans="1:17" outlineLevel="4" x14ac:dyDescent="0.3">
      <c r="A62" s="174" t="s">
        <v>97</v>
      </c>
      <c r="B62" s="175">
        <v>1.146224364E-2</v>
      </c>
      <c r="C62" s="175">
        <v>0.48186126030999998</v>
      </c>
      <c r="D62" s="197">
        <v>6.8999999999999997E-5</v>
      </c>
      <c r="E62" s="25"/>
      <c r="F62" s="25"/>
      <c r="G62" s="25"/>
      <c r="H62" s="25"/>
      <c r="I62" s="25"/>
      <c r="J62" s="25"/>
      <c r="K62" s="25"/>
      <c r="L62" s="25"/>
      <c r="M62" s="25"/>
      <c r="N62" s="25"/>
      <c r="O62" s="25"/>
      <c r="P62" s="25"/>
      <c r="Q62" s="25"/>
    </row>
    <row r="63" spans="1:17" outlineLevel="4" x14ac:dyDescent="0.3">
      <c r="A63" s="174" t="s">
        <v>98</v>
      </c>
      <c r="B63" s="175">
        <v>0.12100019522</v>
      </c>
      <c r="C63" s="175">
        <v>5.08672720701</v>
      </c>
      <c r="D63" s="197">
        <v>7.2900000000000005E-4</v>
      </c>
      <c r="E63" s="25"/>
      <c r="F63" s="25"/>
      <c r="G63" s="25"/>
      <c r="H63" s="25"/>
      <c r="I63" s="25"/>
      <c r="J63" s="25"/>
      <c r="K63" s="25"/>
      <c r="L63" s="25"/>
      <c r="M63" s="25"/>
      <c r="N63" s="25"/>
      <c r="O63" s="25"/>
      <c r="P63" s="25"/>
      <c r="Q63" s="25"/>
    </row>
    <row r="64" spans="1:17" outlineLevel="4" x14ac:dyDescent="0.3">
      <c r="A64" s="174" t="s">
        <v>99</v>
      </c>
      <c r="B64" s="175">
        <v>0.10114868791000001</v>
      </c>
      <c r="C64" s="175">
        <v>4.2521896911699999</v>
      </c>
      <c r="D64" s="197">
        <v>6.0899999999999995E-4</v>
      </c>
      <c r="E64" s="25"/>
      <c r="F64" s="25"/>
      <c r="G64" s="25"/>
      <c r="H64" s="25"/>
      <c r="I64" s="25"/>
      <c r="J64" s="25"/>
      <c r="K64" s="25"/>
      <c r="L64" s="25"/>
      <c r="M64" s="25"/>
      <c r="N64" s="25"/>
      <c r="O64" s="25"/>
      <c r="P64" s="25"/>
      <c r="Q64" s="25"/>
    </row>
    <row r="65" spans="1:17" outlineLevel="4" x14ac:dyDescent="0.3">
      <c r="A65" s="174" t="s">
        <v>100</v>
      </c>
      <c r="B65" s="175">
        <v>2.9522925032999998</v>
      </c>
      <c r="C65" s="175">
        <v>124.11142454661</v>
      </c>
      <c r="D65" s="197">
        <v>1.7779E-2</v>
      </c>
      <c r="E65" s="25"/>
      <c r="F65" s="25"/>
      <c r="G65" s="25"/>
      <c r="H65" s="25"/>
      <c r="I65" s="25"/>
      <c r="J65" s="25"/>
      <c r="K65" s="25"/>
      <c r="L65" s="25"/>
      <c r="M65" s="25"/>
      <c r="N65" s="25"/>
      <c r="O65" s="25"/>
      <c r="P65" s="25"/>
      <c r="Q65" s="25"/>
    </row>
    <row r="66" spans="1:17" outlineLevel="4" x14ac:dyDescent="0.3">
      <c r="A66" s="174" t="s">
        <v>101</v>
      </c>
      <c r="B66" s="175">
        <v>44.012826736089998</v>
      </c>
      <c r="C66" s="175">
        <v>1850.2552231591901</v>
      </c>
      <c r="D66" s="197">
        <v>0.265044</v>
      </c>
      <c r="E66" s="25"/>
      <c r="F66" s="25"/>
      <c r="G66" s="25"/>
      <c r="H66" s="25"/>
      <c r="I66" s="25"/>
      <c r="J66" s="25"/>
      <c r="K66" s="25"/>
      <c r="L66" s="25"/>
      <c r="M66" s="25"/>
      <c r="N66" s="25"/>
      <c r="O66" s="25"/>
      <c r="P66" s="25"/>
      <c r="Q66" s="25"/>
    </row>
    <row r="67" spans="1:17" outlineLevel="4" x14ac:dyDescent="0.3">
      <c r="A67" s="174" t="s">
        <v>102</v>
      </c>
      <c r="B67" s="175">
        <v>5.7900951672299996</v>
      </c>
      <c r="C67" s="175">
        <v>243.40981073539001</v>
      </c>
      <c r="D67" s="197">
        <v>3.4868000000000003E-2</v>
      </c>
      <c r="E67" s="25"/>
      <c r="F67" s="25"/>
      <c r="G67" s="25"/>
      <c r="H67" s="25"/>
      <c r="I67" s="25"/>
      <c r="J67" s="25"/>
      <c r="K67" s="25"/>
      <c r="L67" s="25"/>
      <c r="M67" s="25"/>
      <c r="N67" s="25"/>
      <c r="O67" s="25"/>
      <c r="P67" s="25"/>
      <c r="Q67" s="25"/>
    </row>
    <row r="68" spans="1:17" outlineLevel="4" x14ac:dyDescent="0.3">
      <c r="A68" s="174" t="s">
        <v>103</v>
      </c>
      <c r="B68" s="175">
        <v>16.17518239755</v>
      </c>
      <c r="C68" s="175">
        <v>679.98849281046</v>
      </c>
      <c r="D68" s="197">
        <v>9.7406999999999994E-2</v>
      </c>
      <c r="E68" s="25"/>
      <c r="F68" s="25"/>
      <c r="G68" s="25"/>
      <c r="H68" s="25"/>
      <c r="I68" s="25"/>
      <c r="J68" s="25"/>
      <c r="K68" s="25"/>
      <c r="L68" s="25"/>
      <c r="M68" s="25"/>
      <c r="N68" s="25"/>
      <c r="O68" s="25"/>
      <c r="P68" s="25"/>
      <c r="Q68" s="25"/>
    </row>
    <row r="69" spans="1:17" outlineLevel="4" x14ac:dyDescent="0.3">
      <c r="A69" s="174" t="s">
        <v>104</v>
      </c>
      <c r="B69" s="175">
        <v>13.54928616023</v>
      </c>
      <c r="C69" s="175">
        <v>569.59844089061005</v>
      </c>
      <c r="D69" s="197">
        <v>8.1592999999999999E-2</v>
      </c>
      <c r="E69" s="25"/>
      <c r="F69" s="25"/>
      <c r="G69" s="25"/>
      <c r="H69" s="25"/>
      <c r="I69" s="25"/>
      <c r="J69" s="25"/>
      <c r="K69" s="25"/>
      <c r="L69" s="25"/>
      <c r="M69" s="25"/>
      <c r="N69" s="25"/>
      <c r="O69" s="25"/>
      <c r="P69" s="25"/>
      <c r="Q69" s="25"/>
    </row>
    <row r="70" spans="1:17" outlineLevel="4" x14ac:dyDescent="0.3">
      <c r="A70" s="174" t="s">
        <v>105</v>
      </c>
      <c r="B70" s="175">
        <v>0.11419518165</v>
      </c>
      <c r="C70" s="175">
        <v>4.8006512413799998</v>
      </c>
      <c r="D70" s="197">
        <v>6.8800000000000003E-4</v>
      </c>
      <c r="E70" s="25"/>
      <c r="F70" s="25"/>
      <c r="G70" s="25"/>
      <c r="H70" s="25"/>
      <c r="I70" s="25"/>
      <c r="J70" s="25"/>
      <c r="K70" s="25"/>
      <c r="L70" s="25"/>
      <c r="M70" s="25"/>
      <c r="N70" s="25"/>
      <c r="O70" s="25"/>
      <c r="P70" s="25"/>
      <c r="Q70" s="25"/>
    </row>
    <row r="71" spans="1:17" ht="14" outlineLevel="3" x14ac:dyDescent="0.35">
      <c r="A71" s="210" t="s">
        <v>106</v>
      </c>
      <c r="B71" s="211">
        <f>SUM(B$72:B$81)</f>
        <v>7.6291777373399992</v>
      </c>
      <c r="C71" s="211">
        <f>SUM(C$72:C$81)</f>
        <v>320.72300290085008</v>
      </c>
      <c r="D71" s="212">
        <f>SUM(D$72:D$81)</f>
        <v>4.5942000000000004E-2</v>
      </c>
      <c r="E71" s="25"/>
      <c r="F71" s="25"/>
      <c r="G71" s="25"/>
      <c r="H71" s="25"/>
      <c r="I71" s="25"/>
      <c r="J71" s="25"/>
      <c r="K71" s="25"/>
      <c r="L71" s="25"/>
      <c r="M71" s="25"/>
      <c r="N71" s="25"/>
      <c r="O71" s="25"/>
      <c r="P71" s="25"/>
      <c r="Q71" s="25"/>
    </row>
    <row r="72" spans="1:17" outlineLevel="4" x14ac:dyDescent="0.3">
      <c r="A72" s="174" t="s">
        <v>107</v>
      </c>
      <c r="B72" s="175">
        <v>2.3139083970000002E-2</v>
      </c>
      <c r="C72" s="175">
        <v>0.972743951</v>
      </c>
      <c r="D72" s="197">
        <v>1.3899999999999999E-4</v>
      </c>
      <c r="E72" s="25"/>
      <c r="F72" s="25"/>
      <c r="G72" s="25"/>
      <c r="H72" s="25"/>
      <c r="I72" s="25"/>
      <c r="J72" s="25"/>
      <c r="K72" s="25"/>
      <c r="L72" s="25"/>
      <c r="M72" s="25"/>
      <c r="N72" s="25"/>
      <c r="O72" s="25"/>
      <c r="P72" s="25"/>
      <c r="Q72" s="25"/>
    </row>
    <row r="73" spans="1:17" outlineLevel="4" x14ac:dyDescent="0.3">
      <c r="A73" s="174" t="s">
        <v>108</v>
      </c>
      <c r="B73" s="175">
        <v>0.20898023264000001</v>
      </c>
      <c r="C73" s="175">
        <v>8.7853200000000005</v>
      </c>
      <c r="D73" s="197">
        <v>1.258E-3</v>
      </c>
      <c r="E73" s="25"/>
      <c r="F73" s="25"/>
      <c r="G73" s="25"/>
      <c r="H73" s="25"/>
      <c r="I73" s="25"/>
      <c r="J73" s="25"/>
      <c r="K73" s="25"/>
      <c r="L73" s="25"/>
      <c r="M73" s="25"/>
      <c r="N73" s="25"/>
      <c r="O73" s="25"/>
      <c r="P73" s="25"/>
      <c r="Q73" s="25"/>
    </row>
    <row r="74" spans="1:17" outlineLevel="4" x14ac:dyDescent="0.3">
      <c r="A74" s="174" t="s">
        <v>109</v>
      </c>
      <c r="B74" s="175">
        <v>5.0846934205799998</v>
      </c>
      <c r="C74" s="175">
        <v>213.75542670784</v>
      </c>
      <c r="D74" s="197">
        <v>3.0620000000000001E-2</v>
      </c>
      <c r="E74" s="25"/>
      <c r="F74" s="25"/>
      <c r="G74" s="25"/>
      <c r="H74" s="25"/>
      <c r="I74" s="25"/>
      <c r="J74" s="25"/>
      <c r="K74" s="25"/>
      <c r="L74" s="25"/>
      <c r="M74" s="25"/>
      <c r="N74" s="25"/>
      <c r="O74" s="25"/>
      <c r="P74" s="25"/>
      <c r="Q74" s="25"/>
    </row>
    <row r="75" spans="1:17" outlineLevel="4" x14ac:dyDescent="0.3">
      <c r="A75" s="174" t="s">
        <v>110</v>
      </c>
      <c r="B75" s="175">
        <v>0.20898023264000001</v>
      </c>
      <c r="C75" s="175">
        <v>8.7853200000000005</v>
      </c>
      <c r="D75" s="197">
        <v>1.258E-3</v>
      </c>
      <c r="E75" s="25"/>
      <c r="F75" s="25"/>
      <c r="G75" s="25"/>
      <c r="H75" s="25"/>
      <c r="I75" s="25"/>
      <c r="J75" s="25"/>
      <c r="K75" s="25"/>
      <c r="L75" s="25"/>
      <c r="M75" s="25"/>
      <c r="N75" s="25"/>
      <c r="O75" s="25"/>
      <c r="P75" s="25"/>
      <c r="Q75" s="25"/>
    </row>
    <row r="76" spans="1:17" outlineLevel="4" x14ac:dyDescent="0.3">
      <c r="A76" s="174" t="s">
        <v>111</v>
      </c>
      <c r="B76" s="175">
        <v>0.58744407237999996</v>
      </c>
      <c r="C76" s="175">
        <v>24.695561359159999</v>
      </c>
      <c r="D76" s="197">
        <v>3.5379999999999999E-3</v>
      </c>
      <c r="E76" s="25"/>
      <c r="F76" s="25"/>
      <c r="G76" s="25"/>
      <c r="H76" s="25"/>
      <c r="I76" s="25"/>
      <c r="J76" s="25"/>
      <c r="K76" s="25"/>
      <c r="L76" s="25"/>
      <c r="M76" s="25"/>
      <c r="N76" s="25"/>
      <c r="O76" s="25"/>
      <c r="P76" s="25"/>
      <c r="Q76" s="25"/>
    </row>
    <row r="77" spans="1:17" outlineLevel="4" x14ac:dyDescent="0.3">
      <c r="A77" s="174" t="s">
        <v>112</v>
      </c>
      <c r="B77" s="175">
        <v>0.10378189140999999</v>
      </c>
      <c r="C77" s="175">
        <v>4.3628869331200004</v>
      </c>
      <c r="D77" s="197">
        <v>6.2500000000000001E-4</v>
      </c>
      <c r="E77" s="25"/>
      <c r="F77" s="25"/>
      <c r="G77" s="25"/>
      <c r="H77" s="25"/>
      <c r="I77" s="25"/>
      <c r="J77" s="25"/>
      <c r="K77" s="25"/>
      <c r="L77" s="25"/>
      <c r="M77" s="25"/>
      <c r="N77" s="25"/>
      <c r="O77" s="25"/>
      <c r="P77" s="25"/>
      <c r="Q77" s="25"/>
    </row>
    <row r="78" spans="1:17" outlineLevel="4" x14ac:dyDescent="0.3">
      <c r="A78" s="174" t="s">
        <v>113</v>
      </c>
      <c r="B78" s="175">
        <v>0.1</v>
      </c>
      <c r="C78" s="175">
        <v>4.2039</v>
      </c>
      <c r="D78" s="197">
        <v>6.02E-4</v>
      </c>
      <c r="E78" s="25"/>
      <c r="F78" s="25"/>
      <c r="G78" s="25"/>
      <c r="H78" s="25"/>
      <c r="I78" s="25"/>
      <c r="J78" s="25"/>
      <c r="K78" s="25"/>
      <c r="L78" s="25"/>
      <c r="M78" s="25"/>
      <c r="N78" s="25"/>
      <c r="O78" s="25"/>
      <c r="P78" s="25"/>
      <c r="Q78" s="25"/>
    </row>
    <row r="79" spans="1:17" outlineLevel="4" x14ac:dyDescent="0.3">
      <c r="A79" s="174" t="s">
        <v>114</v>
      </c>
      <c r="B79" s="175">
        <v>5.1251526E-4</v>
      </c>
      <c r="C79" s="175">
        <v>2.1545629019999998E-2</v>
      </c>
      <c r="D79" s="197">
        <v>3.0000000000000001E-6</v>
      </c>
      <c r="E79" s="25"/>
      <c r="F79" s="25"/>
      <c r="G79" s="25"/>
      <c r="H79" s="25"/>
      <c r="I79" s="25"/>
      <c r="J79" s="25"/>
      <c r="K79" s="25"/>
      <c r="L79" s="25"/>
      <c r="M79" s="25"/>
      <c r="N79" s="25"/>
      <c r="O79" s="25"/>
      <c r="P79" s="25"/>
      <c r="Q79" s="25"/>
    </row>
    <row r="80" spans="1:17" outlineLevel="4" x14ac:dyDescent="0.3">
      <c r="A80" s="174" t="s">
        <v>115</v>
      </c>
      <c r="B80" s="175">
        <v>0.46506189307000001</v>
      </c>
      <c r="C80" s="175">
        <v>19.550736922790001</v>
      </c>
      <c r="D80" s="197">
        <v>2.8010000000000001E-3</v>
      </c>
      <c r="E80" s="25"/>
      <c r="F80" s="25"/>
      <c r="G80" s="25"/>
      <c r="H80" s="25"/>
      <c r="I80" s="25"/>
      <c r="J80" s="25"/>
      <c r="K80" s="25"/>
      <c r="L80" s="25"/>
      <c r="M80" s="25"/>
      <c r="N80" s="25"/>
      <c r="O80" s="25"/>
      <c r="P80" s="25"/>
      <c r="Q80" s="25"/>
    </row>
    <row r="81" spans="1:17" outlineLevel="4" x14ac:dyDescent="0.3">
      <c r="A81" s="174" t="s">
        <v>116</v>
      </c>
      <c r="B81" s="175">
        <v>0.84658439538999997</v>
      </c>
      <c r="C81" s="175">
        <v>35.589561397920001</v>
      </c>
      <c r="D81" s="197">
        <v>5.0980000000000001E-3</v>
      </c>
      <c r="E81" s="25"/>
      <c r="F81" s="25"/>
      <c r="G81" s="25"/>
      <c r="H81" s="25"/>
      <c r="I81" s="25"/>
      <c r="J81" s="25"/>
      <c r="K81" s="25"/>
      <c r="L81" s="25"/>
      <c r="M81" s="25"/>
      <c r="N81" s="25"/>
      <c r="O81" s="25"/>
      <c r="P81" s="25"/>
      <c r="Q81" s="25"/>
    </row>
    <row r="82" spans="1:17" ht="14" outlineLevel="3" x14ac:dyDescent="0.35">
      <c r="A82" s="210" t="s">
        <v>117</v>
      </c>
      <c r="B82" s="211">
        <f>SUM(B$83:B$83)</f>
        <v>0.60585586000000002</v>
      </c>
      <c r="C82" s="211">
        <f>SUM(C$83:C$83)</f>
        <v>25.469574498539998</v>
      </c>
      <c r="D82" s="212">
        <f>SUM(D$83:D$83)</f>
        <v>3.6480000000000002E-3</v>
      </c>
      <c r="E82" s="25"/>
      <c r="F82" s="25"/>
      <c r="G82" s="25"/>
      <c r="H82" s="25"/>
      <c r="I82" s="25"/>
      <c r="J82" s="25"/>
      <c r="K82" s="25"/>
      <c r="L82" s="25"/>
      <c r="M82" s="25"/>
      <c r="N82" s="25"/>
      <c r="O82" s="25"/>
      <c r="P82" s="25"/>
      <c r="Q82" s="25"/>
    </row>
    <row r="83" spans="1:17" outlineLevel="4" x14ac:dyDescent="0.3">
      <c r="A83" s="174" t="s">
        <v>118</v>
      </c>
      <c r="B83" s="175">
        <v>0.60585586000000002</v>
      </c>
      <c r="C83" s="175">
        <v>25.469574498539998</v>
      </c>
      <c r="D83" s="197">
        <v>3.6480000000000002E-3</v>
      </c>
      <c r="E83" s="25"/>
      <c r="F83" s="25"/>
      <c r="G83" s="25"/>
      <c r="H83" s="25"/>
      <c r="I83" s="25"/>
      <c r="J83" s="25"/>
      <c r="K83" s="25"/>
      <c r="L83" s="25"/>
      <c r="M83" s="25"/>
      <c r="N83" s="25"/>
      <c r="O83" s="25"/>
      <c r="P83" s="25"/>
      <c r="Q83" s="25"/>
    </row>
    <row r="84" spans="1:17" ht="14" outlineLevel="3" x14ac:dyDescent="0.35">
      <c r="A84" s="210" t="s">
        <v>119</v>
      </c>
      <c r="B84" s="211">
        <f>SUM(B$85:B$90)</f>
        <v>1.4786194744199999</v>
      </c>
      <c r="C84" s="211">
        <f>SUM(C$85:C$90)</f>
        <v>62.159684084680002</v>
      </c>
      <c r="D84" s="212">
        <f>SUM(D$85:D$90)</f>
        <v>8.9039999999999987E-3</v>
      </c>
      <c r="E84" s="25"/>
      <c r="F84" s="25"/>
      <c r="G84" s="25"/>
      <c r="H84" s="25"/>
      <c r="I84" s="25"/>
      <c r="J84" s="25"/>
      <c r="K84" s="25"/>
      <c r="L84" s="25"/>
      <c r="M84" s="25"/>
      <c r="N84" s="25"/>
      <c r="O84" s="25"/>
      <c r="P84" s="25"/>
      <c r="Q84" s="25"/>
    </row>
    <row r="85" spans="1:17" outlineLevel="4" x14ac:dyDescent="0.3">
      <c r="A85" s="174" t="s">
        <v>120</v>
      </c>
      <c r="B85" s="175">
        <v>0.67918575608999998</v>
      </c>
      <c r="C85" s="175">
        <v>28.552289999999999</v>
      </c>
      <c r="D85" s="197">
        <v>4.0899999999999999E-3</v>
      </c>
      <c r="E85" s="25"/>
      <c r="F85" s="25"/>
      <c r="G85" s="25"/>
      <c r="H85" s="25"/>
      <c r="I85" s="25"/>
      <c r="J85" s="25"/>
      <c r="K85" s="25"/>
      <c r="L85" s="25"/>
      <c r="M85" s="25"/>
      <c r="N85" s="25"/>
      <c r="O85" s="25"/>
      <c r="P85" s="25"/>
      <c r="Q85" s="25"/>
    </row>
    <row r="86" spans="1:17" outlineLevel="4" x14ac:dyDescent="0.3">
      <c r="A86" s="174" t="s">
        <v>121</v>
      </c>
      <c r="B86" s="175">
        <v>5.3424960000000002E-5</v>
      </c>
      <c r="C86" s="175">
        <v>2.2459319199999998E-3</v>
      </c>
      <c r="D86" s="197">
        <v>0</v>
      </c>
      <c r="E86" s="25"/>
      <c r="F86" s="25"/>
      <c r="G86" s="25"/>
      <c r="H86" s="25"/>
      <c r="I86" s="25"/>
      <c r="J86" s="25"/>
      <c r="K86" s="25"/>
      <c r="L86" s="25"/>
      <c r="M86" s="25"/>
      <c r="N86" s="25"/>
      <c r="O86" s="25"/>
      <c r="P86" s="25"/>
      <c r="Q86" s="25"/>
    </row>
    <row r="87" spans="1:17" outlineLevel="4" x14ac:dyDescent="0.3">
      <c r="A87" s="174" t="s">
        <v>122</v>
      </c>
      <c r="B87" s="175">
        <v>6.7086455600000004E-3</v>
      </c>
      <c r="C87" s="175">
        <v>0.28202475074</v>
      </c>
      <c r="D87" s="197">
        <v>4.0000000000000003E-5</v>
      </c>
      <c r="E87" s="25"/>
      <c r="F87" s="25"/>
      <c r="G87" s="25"/>
      <c r="H87" s="25"/>
      <c r="I87" s="25"/>
      <c r="J87" s="25"/>
      <c r="K87" s="25"/>
      <c r="L87" s="25"/>
      <c r="M87" s="25"/>
      <c r="N87" s="25"/>
      <c r="O87" s="25"/>
      <c r="P87" s="25"/>
      <c r="Q87" s="25"/>
    </row>
    <row r="88" spans="1:17" outlineLevel="4" x14ac:dyDescent="0.3">
      <c r="A88" s="174" t="s">
        <v>123</v>
      </c>
      <c r="B88" s="175">
        <v>0.19288559186000001</v>
      </c>
      <c r="C88" s="175">
        <v>8.1087173963799994</v>
      </c>
      <c r="D88" s="197">
        <v>1.1620000000000001E-3</v>
      </c>
      <c r="E88" s="25"/>
      <c r="F88" s="25"/>
      <c r="G88" s="25"/>
      <c r="H88" s="25"/>
      <c r="I88" s="25"/>
      <c r="J88" s="25"/>
      <c r="K88" s="25"/>
      <c r="L88" s="25"/>
      <c r="M88" s="25"/>
      <c r="N88" s="25"/>
      <c r="O88" s="25"/>
      <c r="P88" s="25"/>
      <c r="Q88" s="25"/>
    </row>
    <row r="89" spans="1:17" outlineLevel="4" x14ac:dyDescent="0.3">
      <c r="A89" s="174" t="s">
        <v>124</v>
      </c>
      <c r="B89" s="175">
        <v>0.43278562789000002</v>
      </c>
      <c r="C89" s="175">
        <v>18.193875010589998</v>
      </c>
      <c r="D89" s="197">
        <v>2.6059999999999998E-3</v>
      </c>
      <c r="E89" s="25"/>
      <c r="F89" s="25"/>
      <c r="G89" s="25"/>
      <c r="H89" s="25"/>
      <c r="I89" s="25"/>
      <c r="J89" s="25"/>
      <c r="K89" s="25"/>
      <c r="L89" s="25"/>
      <c r="M89" s="25"/>
      <c r="N89" s="25"/>
      <c r="O89" s="25"/>
      <c r="P89" s="25"/>
      <c r="Q89" s="25"/>
    </row>
    <row r="90" spans="1:17" outlineLevel="4" x14ac:dyDescent="0.3">
      <c r="A90" s="174" t="s">
        <v>125</v>
      </c>
      <c r="B90" s="175">
        <v>0.16700042806000001</v>
      </c>
      <c r="C90" s="175">
        <v>7.0205309950499997</v>
      </c>
      <c r="D90" s="197">
        <v>1.0059999999999999E-3</v>
      </c>
      <c r="E90" s="25"/>
      <c r="F90" s="25"/>
      <c r="G90" s="25"/>
      <c r="H90" s="25"/>
      <c r="I90" s="25"/>
      <c r="J90" s="25"/>
      <c r="K90" s="25"/>
      <c r="L90" s="25"/>
      <c r="M90" s="25"/>
      <c r="N90" s="25"/>
      <c r="O90" s="25"/>
      <c r="P90" s="25"/>
      <c r="Q90" s="25"/>
    </row>
    <row r="91" spans="1:17" ht="14" outlineLevel="3" x14ac:dyDescent="0.35">
      <c r="A91" s="210" t="s">
        <v>126</v>
      </c>
      <c r="B91" s="211">
        <f>SUM(B$92:B$92)</f>
        <v>15.219165084</v>
      </c>
      <c r="C91" s="211">
        <f>SUM(C$92:C$92)</f>
        <v>639.79848096628996</v>
      </c>
      <c r="D91" s="212">
        <f>SUM(D$92:D$92)</f>
        <v>9.1648999999999994E-2</v>
      </c>
      <c r="E91" s="25"/>
      <c r="F91" s="25"/>
      <c r="G91" s="25"/>
      <c r="H91" s="25"/>
      <c r="I91" s="25"/>
      <c r="J91" s="25"/>
      <c r="K91" s="25"/>
      <c r="L91" s="25"/>
      <c r="M91" s="25"/>
      <c r="N91" s="25"/>
      <c r="O91" s="25"/>
      <c r="P91" s="25"/>
      <c r="Q91" s="25"/>
    </row>
    <row r="92" spans="1:17" outlineLevel="4" x14ac:dyDescent="0.3">
      <c r="A92" s="174" t="s">
        <v>134</v>
      </c>
      <c r="B92" s="175">
        <v>15.219165084</v>
      </c>
      <c r="C92" s="175">
        <v>639.79848096628996</v>
      </c>
      <c r="D92" s="197">
        <v>9.1648999999999994E-2</v>
      </c>
      <c r="E92" s="25"/>
      <c r="F92" s="25"/>
      <c r="G92" s="25"/>
      <c r="H92" s="25"/>
      <c r="I92" s="25"/>
      <c r="J92" s="25"/>
      <c r="K92" s="25"/>
      <c r="L92" s="25"/>
      <c r="M92" s="25"/>
      <c r="N92" s="25"/>
      <c r="O92" s="25"/>
      <c r="P92" s="25"/>
      <c r="Q92" s="25"/>
    </row>
    <row r="93" spans="1:17" ht="14" outlineLevel="3" x14ac:dyDescent="0.35">
      <c r="A93" s="210" t="s">
        <v>135</v>
      </c>
      <c r="B93" s="211">
        <f>SUM(B$94:B$94)</f>
        <v>3</v>
      </c>
      <c r="C93" s="211">
        <f>SUM(C$94:C$94)</f>
        <v>126.117</v>
      </c>
      <c r="D93" s="212">
        <f>SUM(D$94:D$94)</f>
        <v>1.8065999999999999E-2</v>
      </c>
      <c r="E93" s="25"/>
      <c r="F93" s="25"/>
      <c r="G93" s="25"/>
      <c r="H93" s="25"/>
      <c r="I93" s="25"/>
      <c r="J93" s="25"/>
      <c r="K93" s="25"/>
      <c r="L93" s="25"/>
      <c r="M93" s="25"/>
      <c r="N93" s="25"/>
      <c r="O93" s="25"/>
      <c r="P93" s="25"/>
      <c r="Q93" s="25"/>
    </row>
    <row r="94" spans="1:17" outlineLevel="4" x14ac:dyDescent="0.3">
      <c r="A94" s="174" t="s">
        <v>136</v>
      </c>
      <c r="B94" s="175">
        <v>3</v>
      </c>
      <c r="C94" s="175">
        <v>126.117</v>
      </c>
      <c r="D94" s="197">
        <v>1.8065999999999999E-2</v>
      </c>
      <c r="E94" s="25"/>
      <c r="F94" s="25"/>
      <c r="G94" s="25"/>
      <c r="H94" s="25"/>
      <c r="I94" s="25"/>
      <c r="J94" s="25"/>
      <c r="K94" s="25"/>
      <c r="L94" s="25"/>
      <c r="M94" s="25"/>
      <c r="N94" s="25"/>
      <c r="O94" s="25"/>
      <c r="P94" s="25"/>
      <c r="Q94" s="25"/>
    </row>
    <row r="95" spans="1:17" ht="14" outlineLevel="3" x14ac:dyDescent="0.35">
      <c r="A95" s="210" t="s">
        <v>137</v>
      </c>
      <c r="B95" s="211">
        <f>SUM(B$96:B$96)</f>
        <v>4.1161355888799998</v>
      </c>
      <c r="C95" s="211">
        <f>SUM(C$96:C$96)</f>
        <v>173.03822402111001</v>
      </c>
      <c r="D95" s="212">
        <f>SUM(D$96:D$96)</f>
        <v>2.4787E-2</v>
      </c>
      <c r="E95" s="25"/>
      <c r="F95" s="25"/>
      <c r="G95" s="25"/>
      <c r="H95" s="25"/>
      <c r="I95" s="25"/>
      <c r="J95" s="25"/>
      <c r="K95" s="25"/>
      <c r="L95" s="25"/>
      <c r="M95" s="25"/>
      <c r="N95" s="25"/>
      <c r="O95" s="25"/>
      <c r="P95" s="25"/>
      <c r="Q95" s="25"/>
    </row>
    <row r="96" spans="1:17" outlineLevel="4" x14ac:dyDescent="0.3">
      <c r="A96" s="174" t="s">
        <v>104</v>
      </c>
      <c r="B96" s="175">
        <v>4.1161355888799998</v>
      </c>
      <c r="C96" s="175">
        <v>173.03822402111001</v>
      </c>
      <c r="D96" s="197">
        <v>2.4787E-2</v>
      </c>
      <c r="E96" s="25"/>
      <c r="F96" s="25"/>
      <c r="G96" s="25"/>
      <c r="H96" s="25"/>
      <c r="I96" s="25"/>
      <c r="J96" s="25"/>
      <c r="K96" s="25"/>
      <c r="L96" s="25"/>
      <c r="M96" s="25"/>
      <c r="N96" s="25"/>
      <c r="O96" s="25"/>
      <c r="P96" s="25"/>
      <c r="Q96" s="25"/>
    </row>
    <row r="97" spans="1:17" ht="14.5" outlineLevel="2" x14ac:dyDescent="0.35">
      <c r="A97" s="201" t="s">
        <v>2</v>
      </c>
      <c r="B97" s="202">
        <f>B$98+B$105+B$108+B$110+B$112</f>
        <v>5.2131031995800008</v>
      </c>
      <c r="C97" s="202">
        <f>C$98+C$105+C$108+C$110+C$112</f>
        <v>219.15364540834997</v>
      </c>
      <c r="D97" s="203">
        <f>D$98+D$105+D$108+D$110+D$112</f>
        <v>3.1392999999999997E-2</v>
      </c>
      <c r="E97" s="25"/>
      <c r="F97" s="25"/>
      <c r="G97" s="25"/>
      <c r="H97" s="25"/>
      <c r="I97" s="25"/>
      <c r="J97" s="25"/>
      <c r="K97" s="25"/>
      <c r="L97" s="25"/>
      <c r="M97" s="25"/>
      <c r="N97" s="25"/>
      <c r="O97" s="25"/>
      <c r="P97" s="25"/>
      <c r="Q97" s="25"/>
    </row>
    <row r="98" spans="1:17" ht="14" outlineLevel="3" x14ac:dyDescent="0.35">
      <c r="A98" s="210" t="s">
        <v>96</v>
      </c>
      <c r="B98" s="211">
        <f>SUM(B$99:B$104)</f>
        <v>3.2418873771000003</v>
      </c>
      <c r="C98" s="211">
        <f>SUM(C$99:C$104)</f>
        <v>136.28570344675998</v>
      </c>
      <c r="D98" s="212">
        <f>SUM(D$99:D$104)</f>
        <v>1.9522999999999999E-2</v>
      </c>
      <c r="E98" s="25"/>
      <c r="F98" s="25"/>
      <c r="G98" s="25"/>
      <c r="H98" s="25"/>
      <c r="I98" s="25"/>
      <c r="J98" s="25"/>
      <c r="K98" s="25"/>
      <c r="L98" s="25"/>
      <c r="M98" s="25"/>
      <c r="N98" s="25"/>
      <c r="O98" s="25"/>
      <c r="P98" s="25"/>
      <c r="Q98" s="25"/>
    </row>
    <row r="99" spans="1:17" outlineLevel="4" x14ac:dyDescent="0.3">
      <c r="A99" s="174" t="s">
        <v>156</v>
      </c>
      <c r="B99" s="175">
        <v>0.31347034895999998</v>
      </c>
      <c r="C99" s="175">
        <v>13.17798</v>
      </c>
      <c r="D99" s="197">
        <v>1.8879999999999999E-3</v>
      </c>
      <c r="E99" s="25"/>
      <c r="F99" s="25"/>
      <c r="G99" s="25"/>
      <c r="H99" s="25"/>
      <c r="I99" s="25"/>
      <c r="J99" s="25"/>
      <c r="K99" s="25"/>
      <c r="L99" s="25"/>
      <c r="M99" s="25"/>
      <c r="N99" s="25"/>
      <c r="O99" s="25"/>
      <c r="P99" s="25"/>
      <c r="Q99" s="25"/>
    </row>
    <row r="100" spans="1:17" outlineLevel="4" x14ac:dyDescent="0.3">
      <c r="A100" s="174" t="s">
        <v>99</v>
      </c>
      <c r="B100" s="175">
        <v>1.0781519687600001</v>
      </c>
      <c r="C100" s="175">
        <v>45.32443061531</v>
      </c>
      <c r="D100" s="197">
        <v>6.4929999999999996E-3</v>
      </c>
      <c r="E100" s="25"/>
      <c r="F100" s="25"/>
      <c r="G100" s="25"/>
      <c r="H100" s="25"/>
      <c r="I100" s="25"/>
      <c r="J100" s="25"/>
      <c r="K100" s="25"/>
      <c r="L100" s="25"/>
      <c r="M100" s="25"/>
      <c r="N100" s="25"/>
      <c r="O100" s="25"/>
      <c r="P100" s="25"/>
      <c r="Q100" s="25"/>
    </row>
    <row r="101" spans="1:17" outlineLevel="4" x14ac:dyDescent="0.3">
      <c r="A101" s="174" t="s">
        <v>100</v>
      </c>
      <c r="B101" s="175">
        <v>0.19232794526999999</v>
      </c>
      <c r="C101" s="175">
        <v>8.0852744912300007</v>
      </c>
      <c r="D101" s="197">
        <v>1.158E-3</v>
      </c>
      <c r="E101" s="25"/>
      <c r="F101" s="25"/>
      <c r="G101" s="25"/>
      <c r="H101" s="25"/>
      <c r="I101" s="25"/>
      <c r="J101" s="25"/>
      <c r="K101" s="25"/>
      <c r="L101" s="25"/>
      <c r="M101" s="25"/>
      <c r="N101" s="25"/>
      <c r="O101" s="25"/>
      <c r="P101" s="25"/>
      <c r="Q101" s="25"/>
    </row>
    <row r="102" spans="1:17" outlineLevel="4" x14ac:dyDescent="0.3">
      <c r="A102" s="174" t="s">
        <v>103</v>
      </c>
      <c r="B102" s="175">
        <v>0.51326692550999997</v>
      </c>
      <c r="C102" s="175">
        <v>21.577228281509999</v>
      </c>
      <c r="D102" s="197">
        <v>3.091E-3</v>
      </c>
      <c r="E102" s="25"/>
      <c r="F102" s="25"/>
      <c r="G102" s="25"/>
      <c r="H102" s="25"/>
      <c r="I102" s="25"/>
      <c r="J102" s="25"/>
      <c r="K102" s="25"/>
      <c r="L102" s="25"/>
      <c r="M102" s="25"/>
      <c r="N102" s="25"/>
      <c r="O102" s="25"/>
      <c r="P102" s="25"/>
      <c r="Q102" s="25"/>
    </row>
    <row r="103" spans="1:17" outlineLevel="4" x14ac:dyDescent="0.3">
      <c r="A103" s="174" t="s">
        <v>104</v>
      </c>
      <c r="B103" s="175">
        <v>1.1443781555999999</v>
      </c>
      <c r="C103" s="175">
        <v>48.108513283420002</v>
      </c>
      <c r="D103" s="197">
        <v>6.8910000000000004E-3</v>
      </c>
      <c r="E103" s="25"/>
      <c r="F103" s="25"/>
      <c r="G103" s="25"/>
      <c r="H103" s="25"/>
      <c r="I103" s="25"/>
      <c r="J103" s="25"/>
      <c r="K103" s="25"/>
      <c r="L103" s="25"/>
      <c r="M103" s="25"/>
      <c r="N103" s="25"/>
      <c r="O103" s="25"/>
      <c r="P103" s="25"/>
      <c r="Q103" s="25"/>
    </row>
    <row r="104" spans="1:17" outlineLevel="4" x14ac:dyDescent="0.3">
      <c r="A104" s="174" t="s">
        <v>105</v>
      </c>
      <c r="B104" s="175">
        <v>2.9203299999999997E-4</v>
      </c>
      <c r="C104" s="175">
        <v>1.227677529E-2</v>
      </c>
      <c r="D104" s="197">
        <v>1.9999999999999999E-6</v>
      </c>
      <c r="E104" s="25"/>
      <c r="F104" s="25"/>
      <c r="G104" s="25"/>
      <c r="H104" s="25"/>
      <c r="I104" s="25"/>
      <c r="J104" s="25"/>
      <c r="K104" s="25"/>
      <c r="L104" s="25"/>
      <c r="M104" s="25"/>
      <c r="N104" s="25"/>
      <c r="O104" s="25"/>
      <c r="P104" s="25"/>
      <c r="Q104" s="25"/>
    </row>
    <row r="105" spans="1:17" ht="14" outlineLevel="3" x14ac:dyDescent="0.35">
      <c r="A105" s="210" t="s">
        <v>157</v>
      </c>
      <c r="B105" s="211">
        <f>SUM(B$106:B$107)</f>
        <v>0.85779034641999996</v>
      </c>
      <c r="C105" s="211">
        <f>SUM(C$106:C$107)</f>
        <v>36.060648373310002</v>
      </c>
      <c r="D105" s="212">
        <f>SUM(D$106:D$107)</f>
        <v>5.1650000000000003E-3</v>
      </c>
      <c r="E105" s="25"/>
      <c r="F105" s="25"/>
      <c r="G105" s="25"/>
      <c r="H105" s="25"/>
      <c r="I105" s="25"/>
      <c r="J105" s="25"/>
      <c r="K105" s="25"/>
      <c r="L105" s="25"/>
      <c r="M105" s="25"/>
      <c r="N105" s="25"/>
      <c r="O105" s="25"/>
      <c r="P105" s="25"/>
      <c r="Q105" s="25"/>
    </row>
    <row r="106" spans="1:17" outlineLevel="4" x14ac:dyDescent="0.3">
      <c r="A106" s="174" t="s">
        <v>158</v>
      </c>
      <c r="B106" s="175">
        <v>0.82499999999999996</v>
      </c>
      <c r="C106" s="175">
        <v>34.682175000000001</v>
      </c>
      <c r="D106" s="197">
        <v>4.9680000000000002E-3</v>
      </c>
      <c r="E106" s="25"/>
      <c r="F106" s="25"/>
      <c r="G106" s="25"/>
      <c r="H106" s="25"/>
      <c r="I106" s="25"/>
      <c r="J106" s="25"/>
      <c r="K106" s="25"/>
      <c r="L106" s="25"/>
      <c r="M106" s="25"/>
      <c r="N106" s="25"/>
      <c r="O106" s="25"/>
      <c r="P106" s="25"/>
      <c r="Q106" s="25"/>
    </row>
    <row r="107" spans="1:17" outlineLevel="4" x14ac:dyDescent="0.3">
      <c r="A107" s="174" t="s">
        <v>111</v>
      </c>
      <c r="B107" s="175">
        <v>3.2790346419999998E-2</v>
      </c>
      <c r="C107" s="175">
        <v>1.3784733733100001</v>
      </c>
      <c r="D107" s="197">
        <v>1.9699999999999999E-4</v>
      </c>
      <c r="E107" s="25"/>
      <c r="F107" s="25"/>
      <c r="G107" s="25"/>
      <c r="H107" s="25"/>
      <c r="I107" s="25"/>
      <c r="J107" s="25"/>
      <c r="K107" s="25"/>
      <c r="L107" s="25"/>
      <c r="M107" s="25"/>
      <c r="N107" s="25"/>
      <c r="O107" s="25"/>
      <c r="P107" s="25"/>
      <c r="Q107" s="25"/>
    </row>
    <row r="108" spans="1:17" ht="14" outlineLevel="3" x14ac:dyDescent="0.35">
      <c r="A108" s="210" t="s">
        <v>119</v>
      </c>
      <c r="B108" s="211">
        <f>SUM(B$109:B$109)</f>
        <v>0.18221230804999999</v>
      </c>
      <c r="C108" s="211">
        <f>SUM(C$109:C$109)</f>
        <v>7.6600232181100001</v>
      </c>
      <c r="D108" s="212">
        <f>SUM(D$109:D$109)</f>
        <v>1.0970000000000001E-3</v>
      </c>
      <c r="E108" s="25"/>
      <c r="F108" s="25"/>
      <c r="G108" s="25"/>
      <c r="H108" s="25"/>
      <c r="I108" s="25"/>
      <c r="J108" s="25"/>
      <c r="K108" s="25"/>
      <c r="L108" s="25"/>
      <c r="M108" s="25"/>
      <c r="N108" s="25"/>
      <c r="O108" s="25"/>
      <c r="P108" s="25"/>
      <c r="Q108" s="25"/>
    </row>
    <row r="109" spans="1:17" outlineLevel="4" x14ac:dyDescent="0.3">
      <c r="A109" s="174" t="s">
        <v>159</v>
      </c>
      <c r="B109" s="175">
        <v>0.18221230804999999</v>
      </c>
      <c r="C109" s="175">
        <v>7.6600232181100001</v>
      </c>
      <c r="D109" s="197">
        <v>1.0970000000000001E-3</v>
      </c>
      <c r="E109" s="25"/>
      <c r="F109" s="25"/>
      <c r="G109" s="25"/>
      <c r="H109" s="25"/>
      <c r="I109" s="25"/>
      <c r="J109" s="25"/>
      <c r="K109" s="25"/>
      <c r="L109" s="25"/>
      <c r="M109" s="25"/>
      <c r="N109" s="25"/>
      <c r="O109" s="25"/>
      <c r="P109" s="25"/>
      <c r="Q109" s="25"/>
    </row>
    <row r="110" spans="1:17" ht="14" outlineLevel="3" x14ac:dyDescent="0.35">
      <c r="A110" s="210" t="s">
        <v>163</v>
      </c>
      <c r="B110" s="211">
        <f>SUM(B$111:B$111)</f>
        <v>0.82499999999999996</v>
      </c>
      <c r="C110" s="211">
        <f>SUM(C$111:C$111)</f>
        <v>34.682175000000001</v>
      </c>
      <c r="D110" s="212">
        <f>SUM(D$111:D$111)</f>
        <v>4.9680000000000002E-3</v>
      </c>
      <c r="E110" s="25"/>
      <c r="F110" s="25"/>
      <c r="G110" s="25"/>
      <c r="H110" s="25"/>
      <c r="I110" s="25"/>
      <c r="J110" s="25"/>
      <c r="K110" s="25"/>
      <c r="L110" s="25"/>
      <c r="M110" s="25"/>
      <c r="N110" s="25"/>
      <c r="O110" s="25"/>
      <c r="P110" s="25"/>
      <c r="Q110" s="25"/>
    </row>
    <row r="111" spans="1:17" outlineLevel="4" x14ac:dyDescent="0.3">
      <c r="A111" s="174" t="s">
        <v>165</v>
      </c>
      <c r="B111" s="175">
        <v>0.82499999999999996</v>
      </c>
      <c r="C111" s="175">
        <v>34.682175000000001</v>
      </c>
      <c r="D111" s="197">
        <v>4.9680000000000002E-3</v>
      </c>
      <c r="E111" s="25"/>
      <c r="F111" s="25"/>
      <c r="G111" s="25"/>
      <c r="H111" s="25"/>
      <c r="I111" s="25"/>
      <c r="J111" s="25"/>
      <c r="K111" s="25"/>
      <c r="L111" s="25"/>
      <c r="M111" s="25"/>
      <c r="N111" s="25"/>
      <c r="O111" s="25"/>
      <c r="P111" s="25"/>
      <c r="Q111" s="25"/>
    </row>
    <row r="112" spans="1:17" ht="14" outlineLevel="3" x14ac:dyDescent="0.35">
      <c r="A112" s="210" t="s">
        <v>137</v>
      </c>
      <c r="B112" s="211">
        <f>SUM(B$113:B$113)</f>
        <v>0.10621316801</v>
      </c>
      <c r="C112" s="211">
        <f>SUM(C$113:C$113)</f>
        <v>4.4650953701700002</v>
      </c>
      <c r="D112" s="212">
        <f>SUM(D$113:D$113)</f>
        <v>6.4000000000000005E-4</v>
      </c>
      <c r="E112" s="25"/>
      <c r="F112" s="25"/>
      <c r="G112" s="25"/>
      <c r="H112" s="25"/>
      <c r="I112" s="25"/>
      <c r="J112" s="25"/>
      <c r="K112" s="25"/>
      <c r="L112" s="25"/>
      <c r="M112" s="25"/>
      <c r="N112" s="25"/>
      <c r="O112" s="25"/>
      <c r="P112" s="25"/>
      <c r="Q112" s="25"/>
    </row>
    <row r="113" spans="1:17" outlineLevel="4" x14ac:dyDescent="0.3">
      <c r="A113" s="174" t="s">
        <v>104</v>
      </c>
      <c r="B113" s="175">
        <v>0.10621316801</v>
      </c>
      <c r="C113" s="175">
        <v>4.4650953701700002</v>
      </c>
      <c r="D113" s="197">
        <v>6.4000000000000005E-4</v>
      </c>
      <c r="E113" s="25"/>
      <c r="F113" s="25"/>
      <c r="G113" s="25"/>
      <c r="H113" s="25"/>
      <c r="I113" s="25"/>
      <c r="J113" s="25"/>
      <c r="K113" s="25"/>
      <c r="L113" s="25"/>
      <c r="M113" s="25"/>
      <c r="N113" s="25"/>
      <c r="O113" s="25"/>
      <c r="P113" s="25"/>
      <c r="Q113" s="25"/>
    </row>
    <row r="114" spans="1:17" x14ac:dyDescent="0.3">
      <c r="B114" s="24"/>
      <c r="C114" s="24"/>
      <c r="D114" s="62"/>
      <c r="E114" s="25"/>
      <c r="F114" s="25"/>
      <c r="G114" s="25"/>
      <c r="H114" s="25"/>
      <c r="I114" s="25"/>
      <c r="J114" s="25"/>
      <c r="K114" s="25"/>
      <c r="L114" s="25"/>
      <c r="M114" s="25"/>
      <c r="N114" s="25"/>
      <c r="O114" s="25"/>
      <c r="P114" s="25"/>
      <c r="Q114" s="25"/>
    </row>
    <row r="115" spans="1:17" x14ac:dyDescent="0.3">
      <c r="B115" s="24"/>
      <c r="C115" s="24"/>
      <c r="D115" s="62"/>
      <c r="E115" s="25"/>
      <c r="F115" s="25"/>
      <c r="G115" s="25"/>
      <c r="H115" s="25"/>
      <c r="I115" s="25"/>
      <c r="J115" s="25"/>
      <c r="K115" s="25"/>
      <c r="L115" s="25"/>
      <c r="M115" s="25"/>
      <c r="N115" s="25"/>
      <c r="O115" s="25"/>
      <c r="P115" s="25"/>
      <c r="Q115" s="25"/>
    </row>
    <row r="116" spans="1:17" x14ac:dyDescent="0.3">
      <c r="B116" s="24"/>
      <c r="C116" s="24"/>
      <c r="D116" s="62"/>
      <c r="E116" s="25"/>
      <c r="F116" s="25"/>
      <c r="G116" s="25"/>
      <c r="H116" s="25"/>
      <c r="I116" s="25"/>
      <c r="J116" s="25"/>
      <c r="K116" s="25"/>
      <c r="L116" s="25"/>
      <c r="M116" s="25"/>
      <c r="N116" s="25"/>
      <c r="O116" s="25"/>
      <c r="P116" s="25"/>
      <c r="Q116" s="25"/>
    </row>
    <row r="117" spans="1:17" x14ac:dyDescent="0.3">
      <c r="B117" s="24"/>
      <c r="C117" s="24"/>
      <c r="D117" s="62"/>
      <c r="E117" s="25"/>
      <c r="F117" s="25"/>
      <c r="G117" s="25"/>
      <c r="H117" s="25"/>
      <c r="I117" s="25"/>
      <c r="J117" s="25"/>
      <c r="K117" s="25"/>
      <c r="L117" s="25"/>
      <c r="M117" s="25"/>
      <c r="N117" s="25"/>
      <c r="O117" s="25"/>
      <c r="P117" s="25"/>
      <c r="Q117" s="25"/>
    </row>
    <row r="118" spans="1:17" x14ac:dyDescent="0.3">
      <c r="B118" s="24"/>
      <c r="C118" s="24"/>
      <c r="D118" s="62"/>
      <c r="E118" s="25"/>
      <c r="F118" s="25"/>
      <c r="G118" s="25"/>
      <c r="H118" s="25"/>
      <c r="I118" s="25"/>
      <c r="J118" s="25"/>
      <c r="K118" s="25"/>
      <c r="L118" s="25"/>
      <c r="M118" s="25"/>
      <c r="N118" s="25"/>
      <c r="O118" s="25"/>
      <c r="P118" s="25"/>
      <c r="Q118" s="25"/>
    </row>
    <row r="119" spans="1:17" x14ac:dyDescent="0.3">
      <c r="B119" s="24"/>
      <c r="C119" s="24"/>
      <c r="D119" s="62"/>
      <c r="E119" s="25"/>
      <c r="F119" s="25"/>
      <c r="G119" s="25"/>
      <c r="H119" s="25"/>
      <c r="I119" s="25"/>
      <c r="J119" s="25"/>
      <c r="K119" s="25"/>
      <c r="L119" s="25"/>
      <c r="M119" s="25"/>
      <c r="N119" s="25"/>
      <c r="O119" s="25"/>
      <c r="P119" s="25"/>
      <c r="Q119" s="25"/>
    </row>
    <row r="120" spans="1:17" x14ac:dyDescent="0.3">
      <c r="B120" s="24"/>
      <c r="C120" s="24"/>
      <c r="D120" s="62"/>
      <c r="E120" s="25"/>
      <c r="F120" s="25"/>
      <c r="G120" s="25"/>
      <c r="H120" s="25"/>
      <c r="I120" s="25"/>
      <c r="J120" s="25"/>
      <c r="K120" s="25"/>
      <c r="L120" s="25"/>
      <c r="M120" s="25"/>
      <c r="N120" s="25"/>
      <c r="O120" s="25"/>
      <c r="P120" s="25"/>
      <c r="Q120" s="25"/>
    </row>
    <row r="121" spans="1:17" x14ac:dyDescent="0.3">
      <c r="B121" s="24"/>
      <c r="C121" s="24"/>
      <c r="D121" s="62"/>
      <c r="E121" s="25"/>
      <c r="F121" s="25"/>
      <c r="G121" s="25"/>
      <c r="H121" s="25"/>
      <c r="I121" s="25"/>
      <c r="J121" s="25"/>
      <c r="K121" s="25"/>
      <c r="L121" s="25"/>
      <c r="M121" s="25"/>
      <c r="N121" s="25"/>
      <c r="O121" s="25"/>
      <c r="P121" s="25"/>
      <c r="Q121" s="25"/>
    </row>
    <row r="122" spans="1:17" x14ac:dyDescent="0.3">
      <c r="B122" s="24"/>
      <c r="C122" s="24"/>
      <c r="D122" s="62"/>
      <c r="E122" s="25"/>
      <c r="F122" s="25"/>
      <c r="G122" s="25"/>
      <c r="H122" s="25"/>
      <c r="I122" s="25"/>
      <c r="J122" s="25"/>
      <c r="K122" s="25"/>
      <c r="L122" s="25"/>
      <c r="M122" s="25"/>
      <c r="N122" s="25"/>
      <c r="O122" s="25"/>
      <c r="P122" s="25"/>
      <c r="Q122" s="25"/>
    </row>
    <row r="123" spans="1:17" x14ac:dyDescent="0.3">
      <c r="B123" s="24"/>
      <c r="C123" s="24"/>
      <c r="D123" s="62"/>
      <c r="E123" s="25"/>
      <c r="F123" s="25"/>
      <c r="G123" s="25"/>
      <c r="H123" s="25"/>
      <c r="I123" s="25"/>
      <c r="J123" s="25"/>
      <c r="K123" s="25"/>
      <c r="L123" s="25"/>
      <c r="M123" s="25"/>
      <c r="N123" s="25"/>
      <c r="O123" s="25"/>
      <c r="P123" s="25"/>
      <c r="Q123" s="25"/>
    </row>
    <row r="124" spans="1:17" x14ac:dyDescent="0.3">
      <c r="B124" s="24"/>
      <c r="C124" s="24"/>
      <c r="D124" s="62"/>
      <c r="E124" s="25"/>
      <c r="F124" s="25"/>
      <c r="G124" s="25"/>
      <c r="H124" s="25"/>
      <c r="I124" s="25"/>
      <c r="J124" s="25"/>
      <c r="K124" s="25"/>
      <c r="L124" s="25"/>
      <c r="M124" s="25"/>
      <c r="N124" s="25"/>
      <c r="O124" s="25"/>
      <c r="P124" s="25"/>
      <c r="Q124" s="25"/>
    </row>
    <row r="125" spans="1:17" x14ac:dyDescent="0.3">
      <c r="B125" s="24"/>
      <c r="C125" s="24"/>
      <c r="D125" s="62"/>
      <c r="E125" s="25"/>
      <c r="F125" s="25"/>
      <c r="G125" s="25"/>
      <c r="H125" s="25"/>
      <c r="I125" s="25"/>
      <c r="J125" s="25"/>
      <c r="K125" s="25"/>
      <c r="L125" s="25"/>
      <c r="M125" s="25"/>
      <c r="N125" s="25"/>
      <c r="O125" s="25"/>
      <c r="P125" s="25"/>
      <c r="Q125" s="25"/>
    </row>
    <row r="126" spans="1:17" x14ac:dyDescent="0.3">
      <c r="B126" s="24"/>
      <c r="C126" s="24"/>
      <c r="D126" s="62"/>
      <c r="E126" s="25"/>
      <c r="F126" s="25"/>
      <c r="G126" s="25"/>
      <c r="H126" s="25"/>
      <c r="I126" s="25"/>
      <c r="J126" s="25"/>
      <c r="K126" s="25"/>
      <c r="L126" s="25"/>
      <c r="M126" s="25"/>
      <c r="N126" s="25"/>
      <c r="O126" s="25"/>
      <c r="P126" s="25"/>
      <c r="Q126" s="25"/>
    </row>
    <row r="127" spans="1:17" x14ac:dyDescent="0.3">
      <c r="B127" s="24"/>
      <c r="C127" s="24"/>
      <c r="D127" s="62"/>
      <c r="E127" s="25"/>
      <c r="F127" s="25"/>
      <c r="G127" s="25"/>
      <c r="H127" s="25"/>
      <c r="I127" s="25"/>
      <c r="J127" s="25"/>
      <c r="K127" s="25"/>
      <c r="L127" s="25"/>
      <c r="M127" s="25"/>
      <c r="N127" s="25"/>
      <c r="O127" s="25"/>
      <c r="P127" s="25"/>
      <c r="Q127" s="25"/>
    </row>
    <row r="128" spans="1: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7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20"/>
    <outlinePr applyStyles="1" summaryBelow="0"/>
    <pageSetUpPr fitToPage="1"/>
  </sheetPr>
  <dimension ref="A2:S183"/>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2" spans="1:19" ht="36" customHeight="1" x14ac:dyDescent="0.45">
      <c r="A2" s="279" t="str">
        <f>DEBT_AS_OF_DATE</f>
        <v>Державний та гарантований державою борг України
станом на 31.12.2024</v>
      </c>
      <c r="B2" s="280"/>
      <c r="C2" s="280"/>
      <c r="D2" s="280"/>
      <c r="E2" s="25"/>
      <c r="F2" s="25"/>
      <c r="G2" s="25"/>
      <c r="H2" s="25"/>
      <c r="I2" s="25"/>
      <c r="J2" s="25"/>
      <c r="K2" s="25"/>
      <c r="L2" s="25"/>
      <c r="M2" s="25"/>
      <c r="N2" s="25"/>
      <c r="O2" s="25"/>
      <c r="P2" s="25"/>
      <c r="Q2" s="25"/>
      <c r="R2" s="25"/>
      <c r="S2" s="25"/>
    </row>
    <row r="3" spans="1:19" ht="18.5" x14ac:dyDescent="0.45">
      <c r="A3" s="282" t="str">
        <f>BY_CREDITOR_TYPE</f>
        <v>(за типом кредитора)</v>
      </c>
      <c r="B3" s="282"/>
      <c r="C3" s="282"/>
      <c r="D3" s="282"/>
    </row>
    <row r="4" spans="1:19" x14ac:dyDescent="0.3">
      <c r="B4" s="24"/>
      <c r="C4" s="24"/>
      <c r="D4" s="62"/>
      <c r="E4" s="25"/>
      <c r="F4" s="25"/>
      <c r="G4" s="25"/>
      <c r="H4" s="25"/>
      <c r="I4" s="25"/>
      <c r="J4" s="25"/>
      <c r="K4" s="25"/>
      <c r="L4" s="25"/>
      <c r="M4" s="25"/>
      <c r="N4" s="25"/>
      <c r="O4" s="25"/>
      <c r="P4" s="25"/>
      <c r="Q4" s="25"/>
    </row>
    <row r="5" spans="1:19" s="26" customFormat="1" x14ac:dyDescent="0.3">
      <c r="B5" s="27"/>
      <c r="C5" s="27"/>
      <c r="D5" s="26" t="str">
        <f>VALVAL</f>
        <v>млрд. одиниць</v>
      </c>
    </row>
    <row r="6" spans="1:19" s="13" customFormat="1" x14ac:dyDescent="0.25">
      <c r="A6" s="11"/>
      <c r="B6" s="67" t="str">
        <f>USD</f>
        <v>дол.США</v>
      </c>
      <c r="C6" s="67" t="str">
        <f>UAH</f>
        <v>грн.</v>
      </c>
      <c r="D6" s="68" t="s">
        <v>0</v>
      </c>
    </row>
    <row r="7" spans="1:19" s="14" customFormat="1" ht="15.5" x14ac:dyDescent="0.25">
      <c r="A7" s="144" t="str">
        <f>DEBT_TOTAL</f>
        <v>Загальна сума державного та гарантованого державою боргу</v>
      </c>
      <c r="B7" s="138">
        <f>SUM(B8:B46)</f>
        <v>166.05851744312002</v>
      </c>
      <c r="C7" s="138">
        <f>SUM(C8:C46)</f>
        <v>6980.9340147853891</v>
      </c>
      <c r="D7" s="137">
        <f>SUM(D8:D46)</f>
        <v>0.99999899999999997</v>
      </c>
    </row>
    <row r="8" spans="1:19" s="15" customFormat="1" outlineLevel="3" x14ac:dyDescent="0.25">
      <c r="A8" s="171" t="s">
        <v>192</v>
      </c>
      <c r="B8" s="219">
        <v>44.390978646409998</v>
      </c>
      <c r="C8" s="219">
        <v>1866.1523513064001</v>
      </c>
      <c r="D8" s="220">
        <v>0.26732099999999998</v>
      </c>
    </row>
    <row r="9" spans="1:19" s="16" customFormat="1" outlineLevel="3" x14ac:dyDescent="0.25">
      <c r="A9" s="171" t="s">
        <v>193</v>
      </c>
      <c r="B9" s="219">
        <v>1.5779698709900001</v>
      </c>
      <c r="C9" s="219">
        <v>66.336275407040006</v>
      </c>
      <c r="D9" s="220">
        <v>9.502E-3</v>
      </c>
    </row>
    <row r="10" spans="1:19" s="17" customFormat="1" outlineLevel="3" x14ac:dyDescent="0.25">
      <c r="A10" s="222" t="s">
        <v>194</v>
      </c>
      <c r="B10" s="172">
        <v>2.270868E-5</v>
      </c>
      <c r="C10" s="172">
        <v>9.5465000000000003E-4</v>
      </c>
      <c r="D10" s="221">
        <v>0</v>
      </c>
    </row>
    <row r="11" spans="1:19" outlineLevel="3" x14ac:dyDescent="0.3">
      <c r="A11" s="176" t="s">
        <v>195</v>
      </c>
      <c r="B11" s="175">
        <v>19.044165083999999</v>
      </c>
      <c r="C11" s="175">
        <v>800.59765596628995</v>
      </c>
      <c r="D11" s="197">
        <v>0.11468299999999999</v>
      </c>
      <c r="E11" s="25"/>
      <c r="F11" s="25"/>
      <c r="G11" s="25"/>
      <c r="H11" s="25"/>
      <c r="I11" s="25"/>
      <c r="J11" s="25"/>
      <c r="K11" s="25"/>
      <c r="L11" s="25"/>
      <c r="M11" s="25"/>
      <c r="N11" s="25"/>
      <c r="O11" s="25"/>
      <c r="P11" s="25"/>
      <c r="Q11" s="25"/>
    </row>
    <row r="12" spans="1:19" outlineLevel="3" x14ac:dyDescent="0.3">
      <c r="A12" s="176" t="s">
        <v>196</v>
      </c>
      <c r="B12" s="175">
        <v>1.6608317824700001</v>
      </c>
      <c r="C12" s="175">
        <v>69.819707302789993</v>
      </c>
      <c r="D12" s="197">
        <v>1.0000999999999999E-2</v>
      </c>
      <c r="E12" s="25"/>
      <c r="F12" s="25"/>
      <c r="G12" s="25"/>
      <c r="H12" s="25"/>
      <c r="I12" s="25"/>
      <c r="J12" s="25"/>
      <c r="K12" s="25"/>
      <c r="L12" s="25"/>
      <c r="M12" s="25"/>
      <c r="N12" s="25"/>
      <c r="O12" s="25"/>
      <c r="P12" s="25"/>
      <c r="Q12" s="25"/>
    </row>
    <row r="13" spans="1:19" outlineLevel="3" x14ac:dyDescent="0.3">
      <c r="A13" s="176" t="s">
        <v>197</v>
      </c>
      <c r="B13" s="175">
        <v>86.069376649920002</v>
      </c>
      <c r="C13" s="175">
        <v>3618.27052498889</v>
      </c>
      <c r="D13" s="197">
        <v>0.51830799999999999</v>
      </c>
      <c r="E13" s="25"/>
      <c r="F13" s="25"/>
      <c r="G13" s="25"/>
      <c r="H13" s="25"/>
      <c r="I13" s="25"/>
      <c r="J13" s="25"/>
      <c r="K13" s="25"/>
      <c r="L13" s="25"/>
      <c r="M13" s="25"/>
      <c r="N13" s="25"/>
      <c r="O13" s="25"/>
      <c r="P13" s="25"/>
      <c r="Q13" s="25"/>
    </row>
    <row r="14" spans="1:19" outlineLevel="3" x14ac:dyDescent="0.3">
      <c r="A14" s="176" t="s">
        <v>198</v>
      </c>
      <c r="B14" s="175">
        <v>9.0928239437599991</v>
      </c>
      <c r="C14" s="175">
        <v>382.25322577269998</v>
      </c>
      <c r="D14" s="197">
        <v>5.4757E-2</v>
      </c>
      <c r="E14" s="25"/>
      <c r="F14" s="25"/>
      <c r="G14" s="25"/>
      <c r="H14" s="25"/>
      <c r="I14" s="25"/>
      <c r="J14" s="25"/>
      <c r="K14" s="25"/>
      <c r="L14" s="25"/>
      <c r="M14" s="25"/>
      <c r="N14" s="25"/>
      <c r="O14" s="25"/>
      <c r="P14" s="25"/>
      <c r="Q14" s="25"/>
    </row>
    <row r="15" spans="1:19" outlineLevel="3" x14ac:dyDescent="0.3">
      <c r="A15" s="176" t="s">
        <v>199</v>
      </c>
      <c r="B15" s="175">
        <v>4.2223487568899998</v>
      </c>
      <c r="C15" s="175">
        <v>177.50331939128</v>
      </c>
      <c r="D15" s="197">
        <v>2.5427000000000002E-2</v>
      </c>
      <c r="E15" s="25"/>
      <c r="F15" s="25"/>
      <c r="G15" s="25"/>
      <c r="H15" s="25"/>
      <c r="I15" s="25"/>
      <c r="J15" s="25"/>
      <c r="K15" s="25"/>
      <c r="L15" s="25"/>
      <c r="M15" s="25"/>
      <c r="N15" s="25"/>
      <c r="O15" s="25"/>
      <c r="P15" s="25"/>
      <c r="Q15" s="25"/>
    </row>
    <row r="16" spans="1:19" x14ac:dyDescent="0.3">
      <c r="B16" s="24"/>
      <c r="C16" s="24"/>
      <c r="D16" s="62"/>
      <c r="E16" s="25"/>
      <c r="F16" s="25"/>
      <c r="G16" s="25"/>
      <c r="H16" s="25"/>
      <c r="I16" s="25"/>
      <c r="J16" s="25"/>
      <c r="K16" s="25"/>
      <c r="L16" s="25"/>
      <c r="M16" s="25"/>
      <c r="N16" s="25"/>
      <c r="O16" s="25"/>
      <c r="P16" s="25"/>
      <c r="Q16" s="25"/>
    </row>
    <row r="17" spans="2:17" x14ac:dyDescent="0.3">
      <c r="B17" s="24"/>
      <c r="C17" s="24"/>
      <c r="D17" s="62"/>
      <c r="E17" s="25"/>
      <c r="F17" s="25"/>
      <c r="G17" s="25"/>
      <c r="H17" s="25"/>
      <c r="I17" s="25"/>
      <c r="J17" s="25"/>
      <c r="K17" s="25"/>
      <c r="L17" s="25"/>
      <c r="M17" s="25"/>
      <c r="N17" s="25"/>
      <c r="O17" s="25"/>
      <c r="P17" s="25"/>
      <c r="Q17" s="25"/>
    </row>
    <row r="18" spans="2:17" x14ac:dyDescent="0.3">
      <c r="B18" s="24"/>
      <c r="C18" s="24"/>
      <c r="D18" s="62"/>
      <c r="E18" s="25"/>
      <c r="F18" s="25"/>
      <c r="G18" s="25"/>
      <c r="H18" s="25"/>
      <c r="I18" s="25"/>
      <c r="J18" s="25"/>
      <c r="K18" s="25"/>
      <c r="L18" s="25"/>
      <c r="M18" s="25"/>
      <c r="N18" s="25"/>
      <c r="O18" s="25"/>
      <c r="P18" s="25"/>
      <c r="Q18" s="25"/>
    </row>
    <row r="19" spans="2:17" x14ac:dyDescent="0.3">
      <c r="B19" s="24"/>
      <c r="C19" s="24"/>
      <c r="D19" s="62"/>
      <c r="E19" s="25"/>
      <c r="F19" s="25"/>
      <c r="G19" s="25"/>
      <c r="H19" s="25"/>
      <c r="I19" s="25"/>
      <c r="J19" s="25"/>
      <c r="K19" s="25"/>
      <c r="L19" s="25"/>
      <c r="M19" s="25"/>
      <c r="N19" s="25"/>
      <c r="O19" s="25"/>
      <c r="P19" s="25"/>
      <c r="Q19" s="25"/>
    </row>
    <row r="20" spans="2:17" x14ac:dyDescent="0.3">
      <c r="B20" s="24"/>
      <c r="C20" s="24"/>
      <c r="D20" s="62"/>
      <c r="E20" s="25"/>
      <c r="F20" s="25"/>
      <c r="G20" s="25"/>
      <c r="H20" s="25"/>
      <c r="I20" s="25"/>
      <c r="J20" s="25"/>
      <c r="K20" s="25"/>
      <c r="L20" s="25"/>
      <c r="M20" s="25"/>
      <c r="N20" s="25"/>
      <c r="O20" s="25"/>
      <c r="P20" s="25"/>
      <c r="Q20" s="25"/>
    </row>
    <row r="21" spans="2:17" x14ac:dyDescent="0.3">
      <c r="B21" s="24"/>
      <c r="C21" s="24"/>
      <c r="D21" s="62"/>
      <c r="E21" s="25"/>
      <c r="F21" s="25"/>
      <c r="G21" s="25"/>
      <c r="H21" s="25"/>
      <c r="I21" s="25"/>
      <c r="J21" s="25"/>
      <c r="K21" s="25"/>
      <c r="L21" s="25"/>
      <c r="M21" s="25"/>
      <c r="N21" s="25"/>
      <c r="O21" s="25"/>
      <c r="P21" s="25"/>
      <c r="Q21" s="25"/>
    </row>
    <row r="22" spans="2:17" x14ac:dyDescent="0.3">
      <c r="B22" s="24"/>
      <c r="C22" s="24"/>
      <c r="D22" s="62"/>
      <c r="E22" s="25"/>
      <c r="F22" s="25"/>
      <c r="G22" s="25"/>
      <c r="H22" s="25"/>
      <c r="I22" s="25"/>
      <c r="J22" s="25"/>
      <c r="K22" s="25"/>
      <c r="L22" s="25"/>
      <c r="M22" s="25"/>
      <c r="N22" s="25"/>
      <c r="O22" s="25"/>
      <c r="P22" s="25"/>
      <c r="Q22" s="25"/>
    </row>
    <row r="23" spans="2:17" x14ac:dyDescent="0.3">
      <c r="B23" s="24"/>
      <c r="C23" s="24"/>
      <c r="D23" s="62"/>
      <c r="E23" s="25"/>
      <c r="F23" s="25"/>
      <c r="G23" s="25"/>
      <c r="H23" s="25"/>
      <c r="I23" s="25"/>
      <c r="J23" s="25"/>
      <c r="K23" s="25"/>
      <c r="L23" s="25"/>
      <c r="M23" s="25"/>
      <c r="N23" s="25"/>
      <c r="O23" s="25"/>
      <c r="P23" s="25"/>
      <c r="Q23" s="25"/>
    </row>
    <row r="24" spans="2:17" x14ac:dyDescent="0.3">
      <c r="B24" s="24"/>
      <c r="C24" s="24"/>
      <c r="D24" s="62"/>
      <c r="E24" s="25"/>
      <c r="F24" s="25"/>
      <c r="G24" s="25"/>
      <c r="H24" s="25"/>
      <c r="I24" s="25"/>
      <c r="J24" s="25"/>
      <c r="K24" s="25"/>
      <c r="L24" s="25"/>
      <c r="M24" s="25"/>
      <c r="N24" s="25"/>
      <c r="O24" s="25"/>
      <c r="P24" s="25"/>
      <c r="Q24" s="25"/>
    </row>
    <row r="25" spans="2:17" x14ac:dyDescent="0.3">
      <c r="B25" s="24"/>
      <c r="C25" s="24"/>
      <c r="D25" s="62"/>
      <c r="E25" s="25"/>
      <c r="F25" s="25"/>
      <c r="G25" s="25"/>
      <c r="H25" s="25"/>
      <c r="I25" s="25"/>
      <c r="J25" s="25"/>
      <c r="K25" s="25"/>
      <c r="L25" s="25"/>
      <c r="M25" s="25"/>
      <c r="N25" s="25"/>
      <c r="O25" s="25"/>
      <c r="P25" s="25"/>
      <c r="Q25" s="25"/>
    </row>
    <row r="26" spans="2:17" x14ac:dyDescent="0.3">
      <c r="B26" s="24"/>
      <c r="C26" s="24"/>
      <c r="D26" s="62"/>
      <c r="E26" s="25"/>
      <c r="F26" s="25"/>
      <c r="G26" s="25"/>
      <c r="H26" s="25"/>
      <c r="I26" s="25"/>
      <c r="J26" s="25"/>
      <c r="K26" s="25"/>
      <c r="L26" s="25"/>
      <c r="M26" s="25"/>
      <c r="N26" s="25"/>
      <c r="O26" s="25"/>
      <c r="P26" s="25"/>
      <c r="Q26" s="25"/>
    </row>
    <row r="27" spans="2:17" x14ac:dyDescent="0.3">
      <c r="B27" s="24"/>
      <c r="C27" s="24"/>
      <c r="D27" s="62"/>
      <c r="E27" s="25"/>
      <c r="F27" s="25"/>
      <c r="G27" s="25"/>
      <c r="H27" s="25"/>
      <c r="I27" s="25"/>
      <c r="J27" s="25"/>
      <c r="K27" s="25"/>
      <c r="L27" s="25"/>
      <c r="M27" s="25"/>
      <c r="N27" s="25"/>
      <c r="O27" s="25"/>
      <c r="P27" s="25"/>
      <c r="Q27" s="25"/>
    </row>
    <row r="28" spans="2:17" x14ac:dyDescent="0.3">
      <c r="B28" s="24"/>
      <c r="C28" s="24"/>
      <c r="D28" s="62"/>
      <c r="E28" s="25"/>
      <c r="F28" s="25"/>
      <c r="G28" s="25"/>
      <c r="H28" s="25"/>
      <c r="I28" s="25"/>
      <c r="J28" s="25"/>
      <c r="K28" s="25"/>
      <c r="L28" s="25"/>
      <c r="M28" s="25"/>
      <c r="N28" s="25"/>
      <c r="O28" s="25"/>
      <c r="P28" s="25"/>
      <c r="Q28" s="25"/>
    </row>
    <row r="29" spans="2:17" x14ac:dyDescent="0.3">
      <c r="B29" s="24"/>
      <c r="C29" s="24"/>
      <c r="D29" s="62"/>
      <c r="E29" s="25"/>
      <c r="F29" s="25"/>
      <c r="G29" s="25"/>
      <c r="H29" s="25"/>
      <c r="I29" s="25"/>
      <c r="J29" s="25"/>
      <c r="K29" s="25"/>
      <c r="L29" s="25"/>
      <c r="M29" s="25"/>
      <c r="N29" s="25"/>
      <c r="O29" s="25"/>
      <c r="P29" s="25"/>
      <c r="Q29" s="25"/>
    </row>
    <row r="30" spans="2:17" x14ac:dyDescent="0.3">
      <c r="B30" s="24"/>
      <c r="C30" s="24"/>
      <c r="D30" s="62"/>
      <c r="E30" s="25"/>
      <c r="F30" s="25"/>
      <c r="G30" s="25"/>
      <c r="H30" s="25"/>
      <c r="I30" s="25"/>
      <c r="J30" s="25"/>
      <c r="K30" s="25"/>
      <c r="L30" s="25"/>
      <c r="M30" s="25"/>
      <c r="N30" s="25"/>
      <c r="O30" s="25"/>
      <c r="P30" s="25"/>
      <c r="Q30" s="25"/>
    </row>
    <row r="31" spans="2:17" x14ac:dyDescent="0.3">
      <c r="B31" s="24"/>
      <c r="C31" s="24"/>
      <c r="D31" s="62"/>
      <c r="E31" s="25"/>
      <c r="F31" s="25"/>
      <c r="G31" s="25"/>
      <c r="H31" s="25"/>
      <c r="I31" s="25"/>
      <c r="J31" s="25"/>
      <c r="K31" s="25"/>
      <c r="L31" s="25"/>
      <c r="M31" s="25"/>
      <c r="N31" s="25"/>
      <c r="O31" s="25"/>
      <c r="P31" s="25"/>
      <c r="Q31" s="25"/>
    </row>
    <row r="32" spans="2: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row r="175" spans="2:17" x14ac:dyDescent="0.3">
      <c r="B175" s="24"/>
      <c r="C175" s="24"/>
      <c r="D175" s="62"/>
      <c r="E175" s="25"/>
      <c r="F175" s="25"/>
      <c r="G175" s="25"/>
      <c r="H175" s="25"/>
      <c r="I175" s="25"/>
      <c r="J175" s="25"/>
      <c r="K175" s="25"/>
      <c r="L175" s="25"/>
      <c r="M175" s="25"/>
      <c r="N175" s="25"/>
      <c r="O175" s="25"/>
      <c r="P175" s="25"/>
      <c r="Q175" s="25"/>
    </row>
    <row r="176" spans="2:17" x14ac:dyDescent="0.3">
      <c r="B176" s="24"/>
      <c r="C176" s="24"/>
      <c r="D176" s="62"/>
      <c r="E176" s="25"/>
      <c r="F176" s="25"/>
      <c r="G176" s="25"/>
      <c r="H176" s="25"/>
      <c r="I176" s="25"/>
      <c r="J176" s="25"/>
      <c r="K176" s="25"/>
      <c r="L176" s="25"/>
      <c r="M176" s="25"/>
      <c r="N176" s="25"/>
      <c r="O176" s="25"/>
      <c r="P176" s="25"/>
      <c r="Q176" s="25"/>
    </row>
    <row r="177" spans="2:17" x14ac:dyDescent="0.3">
      <c r="B177" s="24"/>
      <c r="C177" s="24"/>
      <c r="D177" s="62"/>
      <c r="E177" s="25"/>
      <c r="F177" s="25"/>
      <c r="G177" s="25"/>
      <c r="H177" s="25"/>
      <c r="I177" s="25"/>
      <c r="J177" s="25"/>
      <c r="K177" s="25"/>
      <c r="L177" s="25"/>
      <c r="M177" s="25"/>
      <c r="N177" s="25"/>
      <c r="O177" s="25"/>
      <c r="P177" s="25"/>
      <c r="Q177" s="25"/>
    </row>
    <row r="178" spans="2:17" x14ac:dyDescent="0.3">
      <c r="B178" s="24"/>
      <c r="C178" s="24"/>
      <c r="D178" s="62"/>
      <c r="E178" s="25"/>
      <c r="F178" s="25"/>
      <c r="G178" s="25"/>
      <c r="H178" s="25"/>
      <c r="I178" s="25"/>
      <c r="J178" s="25"/>
      <c r="K178" s="25"/>
      <c r="L178" s="25"/>
      <c r="M178" s="25"/>
      <c r="N178" s="25"/>
      <c r="O178" s="25"/>
      <c r="P178" s="25"/>
      <c r="Q178" s="25"/>
    </row>
    <row r="179" spans="2:17" x14ac:dyDescent="0.3">
      <c r="B179" s="24"/>
      <c r="C179" s="24"/>
      <c r="D179" s="62"/>
      <c r="E179" s="25"/>
      <c r="F179" s="25"/>
      <c r="G179" s="25"/>
      <c r="H179" s="25"/>
      <c r="I179" s="25"/>
      <c r="J179" s="25"/>
      <c r="K179" s="25"/>
      <c r="L179" s="25"/>
      <c r="M179" s="25"/>
      <c r="N179" s="25"/>
      <c r="O179" s="25"/>
      <c r="P179" s="25"/>
      <c r="Q179" s="25"/>
    </row>
    <row r="180" spans="2:17" x14ac:dyDescent="0.3">
      <c r="B180" s="24"/>
      <c r="C180" s="24"/>
      <c r="D180" s="62"/>
      <c r="E180" s="25"/>
      <c r="F180" s="25"/>
      <c r="G180" s="25"/>
      <c r="H180" s="25"/>
      <c r="I180" s="25"/>
      <c r="J180" s="25"/>
      <c r="K180" s="25"/>
      <c r="L180" s="25"/>
      <c r="M180" s="25"/>
      <c r="N180" s="25"/>
      <c r="O180" s="25"/>
      <c r="P180" s="25"/>
      <c r="Q180" s="25"/>
    </row>
    <row r="181" spans="2:17" x14ac:dyDescent="0.3">
      <c r="B181" s="24"/>
      <c r="C181" s="24"/>
      <c r="D181" s="62"/>
      <c r="E181" s="25"/>
      <c r="F181" s="25"/>
      <c r="G181" s="25"/>
      <c r="H181" s="25"/>
      <c r="I181" s="25"/>
      <c r="J181" s="25"/>
      <c r="K181" s="25"/>
      <c r="L181" s="25"/>
      <c r="M181" s="25"/>
      <c r="N181" s="25"/>
      <c r="O181" s="25"/>
      <c r="P181" s="25"/>
      <c r="Q181" s="25"/>
    </row>
    <row r="182" spans="2:17" x14ac:dyDescent="0.3">
      <c r="B182" s="24"/>
      <c r="C182" s="24"/>
      <c r="D182" s="62"/>
      <c r="E182" s="25"/>
      <c r="F182" s="25"/>
      <c r="G182" s="25"/>
      <c r="H182" s="25"/>
      <c r="I182" s="25"/>
      <c r="J182" s="25"/>
      <c r="K182" s="25"/>
      <c r="L182" s="25"/>
      <c r="M182" s="25"/>
      <c r="N182" s="25"/>
      <c r="O182" s="25"/>
      <c r="P182" s="25"/>
      <c r="Q182" s="25"/>
    </row>
    <row r="183" spans="2:17" x14ac:dyDescent="0.3">
      <c r="B183" s="24"/>
      <c r="C183" s="24"/>
      <c r="D183" s="62"/>
      <c r="E183" s="25"/>
      <c r="F183" s="25"/>
      <c r="G183" s="25"/>
      <c r="H183" s="25"/>
      <c r="I183" s="25"/>
      <c r="J183" s="25"/>
      <c r="K183" s="25"/>
      <c r="L183" s="25"/>
      <c r="M183" s="25"/>
      <c r="N183" s="25"/>
      <c r="O183" s="25"/>
      <c r="P183" s="25"/>
      <c r="Q183"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20"/>
  </sheetPr>
  <dimension ref="A3:S174"/>
  <sheetViews>
    <sheetView workbookViewId="0">
      <selection activeCell="A8" sqref="A8"/>
    </sheetView>
  </sheetViews>
  <sheetFormatPr defaultColWidth="9.1796875" defaultRowHeight="13" outlineLevelRow="3" x14ac:dyDescent="0.3"/>
  <cols>
    <col min="1" max="1" width="81.453125" style="21" customWidth="1"/>
    <col min="2" max="2" width="14.26953125" style="22" customWidth="1"/>
    <col min="3" max="3" width="15.453125" style="22" customWidth="1"/>
    <col min="4" max="4" width="10.26953125" style="71" customWidth="1"/>
    <col min="5" max="5" width="9.1796875" style="21" customWidth="1"/>
    <col min="6" max="16384" width="9.1796875" style="21"/>
  </cols>
  <sheetData>
    <row r="3" spans="1:19" ht="33.65" customHeight="1" x14ac:dyDescent="0.45">
      <c r="A3" s="279" t="str">
        <f>DEBT_AS_OF_DATE</f>
        <v>Державний та гарантований державою борг України
станом на 31.12.2024</v>
      </c>
      <c r="B3" s="280"/>
      <c r="C3" s="280"/>
      <c r="D3" s="280"/>
      <c r="E3" s="25"/>
      <c r="F3" s="25"/>
      <c r="G3" s="25"/>
      <c r="H3" s="25"/>
      <c r="I3" s="25"/>
      <c r="J3" s="25"/>
      <c r="K3" s="25"/>
      <c r="L3" s="25"/>
      <c r="M3" s="25"/>
      <c r="N3" s="25"/>
      <c r="O3" s="25"/>
      <c r="P3" s="25"/>
      <c r="Q3" s="25"/>
      <c r="R3" s="25"/>
      <c r="S3" s="25"/>
    </row>
    <row r="4" spans="1:19" ht="18.5" x14ac:dyDescent="0.45">
      <c r="A4" s="282" t="str">
        <f>BY_CREDITOR_TYPE</f>
        <v>(за типом кредитора)</v>
      </c>
      <c r="B4" s="282"/>
      <c r="C4" s="282"/>
      <c r="D4" s="282"/>
    </row>
    <row r="5" spans="1:19" x14ac:dyDescent="0.3">
      <c r="B5" s="24"/>
      <c r="C5" s="24"/>
      <c r="D5" s="62"/>
      <c r="E5" s="25"/>
      <c r="F5" s="25"/>
      <c r="G5" s="25"/>
      <c r="H5" s="25"/>
      <c r="I5" s="25"/>
      <c r="J5" s="25"/>
      <c r="K5" s="25"/>
      <c r="L5" s="25"/>
      <c r="M5" s="25"/>
      <c r="N5" s="25"/>
      <c r="O5" s="25"/>
      <c r="P5" s="25"/>
      <c r="Q5" s="25"/>
    </row>
    <row r="6" spans="1:19" s="26" customFormat="1" x14ac:dyDescent="0.3">
      <c r="B6" s="27"/>
      <c r="C6" s="27"/>
      <c r="D6" s="26" t="str">
        <f>VALVAL</f>
        <v>млрд. одиниць</v>
      </c>
    </row>
    <row r="7" spans="1:19" s="13" customFormat="1" x14ac:dyDescent="0.25">
      <c r="A7" s="11"/>
      <c r="B7" s="67" t="str">
        <f>USD</f>
        <v>дол.США</v>
      </c>
      <c r="C7" s="67" t="str">
        <f>UAH</f>
        <v>грн.</v>
      </c>
      <c r="D7" s="68" t="s">
        <v>0</v>
      </c>
    </row>
    <row r="8" spans="1:19" s="14" customFormat="1" ht="14.5" x14ac:dyDescent="0.25">
      <c r="A8" s="154" t="str">
        <f>DEBT_TOTAL</f>
        <v>Загальна сума державного та гарантованого державою боргу</v>
      </c>
      <c r="B8" s="122">
        <f>B$17+B$9</f>
        <v>166.05851744312</v>
      </c>
      <c r="C8" s="122">
        <f>C$17+C$9</f>
        <v>6980.9340147853909</v>
      </c>
      <c r="D8" s="123">
        <f>D$17+D$9</f>
        <v>0.99999899999999997</v>
      </c>
    </row>
    <row r="9" spans="1:19" s="15" customFormat="1" ht="14.5" outlineLevel="1" x14ac:dyDescent="0.25">
      <c r="A9" s="223" t="s">
        <v>1</v>
      </c>
      <c r="B9" s="224">
        <f>SUM(B$10:B$16)</f>
        <v>159.19557804599</v>
      </c>
      <c r="C9" s="224">
        <f>SUM(C$10:C$16)</f>
        <v>6692.4229054677808</v>
      </c>
      <c r="D9" s="225">
        <f>SUM(D$10:D$16)</f>
        <v>0.95867000000000002</v>
      </c>
    </row>
    <row r="10" spans="1:19" s="16" customFormat="1" outlineLevel="3" x14ac:dyDescent="0.25">
      <c r="A10" s="171" t="s">
        <v>192</v>
      </c>
      <c r="B10" s="219">
        <v>44.284529596719999</v>
      </c>
      <c r="C10" s="219">
        <v>1861.6773397064001</v>
      </c>
      <c r="D10" s="220">
        <v>0.26667999999999997</v>
      </c>
    </row>
    <row r="11" spans="1:19" s="17" customFormat="1" outlineLevel="3" x14ac:dyDescent="0.25">
      <c r="A11" s="222" t="s">
        <v>193</v>
      </c>
      <c r="B11" s="172">
        <v>3.4605431809999997E-2</v>
      </c>
      <c r="C11" s="172">
        <v>1.4547777477799999</v>
      </c>
      <c r="D11" s="221">
        <v>2.0799999999999999E-4</v>
      </c>
    </row>
    <row r="12" spans="1:19" outlineLevel="3" x14ac:dyDescent="0.3">
      <c r="A12" s="176" t="s">
        <v>195</v>
      </c>
      <c r="B12" s="175">
        <v>18.219165084</v>
      </c>
      <c r="C12" s="175">
        <v>765.91548096629003</v>
      </c>
      <c r="D12" s="197">
        <v>0.10971499999999999</v>
      </c>
      <c r="E12" s="25"/>
      <c r="F12" s="25"/>
      <c r="G12" s="25"/>
      <c r="H12" s="25"/>
      <c r="I12" s="25"/>
      <c r="J12" s="25"/>
      <c r="K12" s="25"/>
      <c r="L12" s="25"/>
      <c r="M12" s="25"/>
      <c r="N12" s="25"/>
      <c r="O12" s="25"/>
      <c r="P12" s="25"/>
      <c r="Q12" s="25"/>
    </row>
    <row r="13" spans="1:19" outlineLevel="3" x14ac:dyDescent="0.3">
      <c r="A13" s="176" t="s">
        <v>196</v>
      </c>
      <c r="B13" s="175">
        <v>1.4786194744200001</v>
      </c>
      <c r="C13" s="175">
        <v>62.159684084680002</v>
      </c>
      <c r="D13" s="197">
        <v>8.9040000000000005E-3</v>
      </c>
      <c r="E13" s="25"/>
      <c r="F13" s="25"/>
      <c r="G13" s="25"/>
      <c r="H13" s="25"/>
      <c r="I13" s="25"/>
      <c r="J13" s="25"/>
      <c r="K13" s="25"/>
      <c r="L13" s="25"/>
      <c r="M13" s="25"/>
      <c r="N13" s="25"/>
      <c r="O13" s="25"/>
      <c r="P13" s="25"/>
      <c r="Q13" s="25"/>
    </row>
    <row r="14" spans="1:19" outlineLevel="3" x14ac:dyDescent="0.3">
      <c r="A14" s="176" t="s">
        <v>197</v>
      </c>
      <c r="B14" s="175">
        <v>82.827489272820003</v>
      </c>
      <c r="C14" s="175">
        <v>3481.9848215421298</v>
      </c>
      <c r="D14" s="197">
        <v>0.49878499999999998</v>
      </c>
      <c r="E14" s="25"/>
      <c r="F14" s="25"/>
      <c r="G14" s="25"/>
      <c r="H14" s="25"/>
      <c r="I14" s="25"/>
      <c r="J14" s="25"/>
      <c r="K14" s="25"/>
      <c r="L14" s="25"/>
      <c r="M14" s="25"/>
      <c r="N14" s="25"/>
      <c r="O14" s="25"/>
      <c r="P14" s="25"/>
      <c r="Q14" s="25"/>
    </row>
    <row r="15" spans="1:19" outlineLevel="3" x14ac:dyDescent="0.3">
      <c r="A15" s="176" t="s">
        <v>198</v>
      </c>
      <c r="B15" s="175">
        <v>8.2350335973399993</v>
      </c>
      <c r="C15" s="175">
        <v>346.19257739939002</v>
      </c>
      <c r="D15" s="197">
        <v>4.9591000000000003E-2</v>
      </c>
      <c r="E15" s="25"/>
      <c r="F15" s="25"/>
      <c r="G15" s="25"/>
      <c r="H15" s="25"/>
      <c r="I15" s="25"/>
      <c r="J15" s="25"/>
      <c r="K15" s="25"/>
      <c r="L15" s="25"/>
      <c r="M15" s="25"/>
      <c r="N15" s="25"/>
      <c r="O15" s="25"/>
      <c r="P15" s="25"/>
      <c r="Q15" s="25"/>
    </row>
    <row r="16" spans="1:19" outlineLevel="3" x14ac:dyDescent="0.3">
      <c r="A16" s="176" t="s">
        <v>199</v>
      </c>
      <c r="B16" s="175">
        <v>4.1161355888799998</v>
      </c>
      <c r="C16" s="175">
        <v>173.03822402111001</v>
      </c>
      <c r="D16" s="197">
        <v>2.4787E-2</v>
      </c>
      <c r="E16" s="25"/>
      <c r="F16" s="25"/>
      <c r="G16" s="25"/>
      <c r="H16" s="25"/>
      <c r="I16" s="25"/>
      <c r="J16" s="25"/>
      <c r="K16" s="25"/>
      <c r="L16" s="25"/>
      <c r="M16" s="25"/>
      <c r="N16" s="25"/>
      <c r="O16" s="25"/>
      <c r="P16" s="25"/>
      <c r="Q16" s="25"/>
    </row>
    <row r="17" spans="1:17" ht="14.5" outlineLevel="1" x14ac:dyDescent="0.35">
      <c r="A17" s="226" t="s">
        <v>2</v>
      </c>
      <c r="B17" s="227">
        <f>SUM(B$18:B$25)</f>
        <v>6.8629393971299999</v>
      </c>
      <c r="C17" s="227">
        <f>SUM(C$18:C$25)</f>
        <v>288.51110931761002</v>
      </c>
      <c r="D17" s="228">
        <f>SUM(D$18:D$25)</f>
        <v>4.1328999999999998E-2</v>
      </c>
      <c r="E17" s="25"/>
      <c r="F17" s="25"/>
      <c r="G17" s="25"/>
      <c r="H17" s="25"/>
      <c r="I17" s="25"/>
      <c r="J17" s="25"/>
      <c r="K17" s="25"/>
      <c r="L17" s="25"/>
      <c r="M17" s="25"/>
      <c r="N17" s="25"/>
      <c r="O17" s="25"/>
      <c r="P17" s="25"/>
      <c r="Q17" s="25"/>
    </row>
    <row r="18" spans="1:17" outlineLevel="3" x14ac:dyDescent="0.3">
      <c r="A18" s="176" t="s">
        <v>192</v>
      </c>
      <c r="B18" s="175">
        <v>0.10644904969000001</v>
      </c>
      <c r="C18" s="175">
        <v>4.4750116000000002</v>
      </c>
      <c r="D18" s="197">
        <v>6.4099999999999997E-4</v>
      </c>
      <c r="E18" s="25"/>
      <c r="F18" s="25"/>
      <c r="G18" s="25"/>
      <c r="H18" s="25"/>
      <c r="I18" s="25"/>
      <c r="J18" s="25"/>
      <c r="K18" s="25"/>
      <c r="L18" s="25"/>
      <c r="M18" s="25"/>
      <c r="N18" s="25"/>
      <c r="O18" s="25"/>
      <c r="P18" s="25"/>
      <c r="Q18" s="25"/>
    </row>
    <row r="19" spans="1:17" outlineLevel="3" x14ac:dyDescent="0.3">
      <c r="A19" s="176" t="s">
        <v>193</v>
      </c>
      <c r="B19" s="175">
        <v>1.5433644391800001</v>
      </c>
      <c r="C19" s="175">
        <v>64.881497659260006</v>
      </c>
      <c r="D19" s="197">
        <v>9.2940000000000002E-3</v>
      </c>
      <c r="E19" s="25"/>
      <c r="F19" s="25"/>
      <c r="G19" s="25"/>
      <c r="H19" s="25"/>
      <c r="I19" s="25"/>
      <c r="J19" s="25"/>
      <c r="K19" s="25"/>
      <c r="L19" s="25"/>
      <c r="M19" s="25"/>
      <c r="N19" s="25"/>
      <c r="O19" s="25"/>
      <c r="P19" s="25"/>
      <c r="Q19" s="25"/>
    </row>
    <row r="20" spans="1:17" outlineLevel="3" x14ac:dyDescent="0.3">
      <c r="A20" s="176" t="s">
        <v>194</v>
      </c>
      <c r="B20" s="175">
        <v>2.270868E-5</v>
      </c>
      <c r="C20" s="175">
        <v>9.5465000000000003E-4</v>
      </c>
      <c r="D20" s="197">
        <v>0</v>
      </c>
      <c r="E20" s="25"/>
      <c r="F20" s="25"/>
      <c r="G20" s="25"/>
      <c r="H20" s="25"/>
      <c r="I20" s="25"/>
      <c r="J20" s="25"/>
      <c r="K20" s="25"/>
      <c r="L20" s="25"/>
      <c r="M20" s="25"/>
      <c r="N20" s="25"/>
      <c r="O20" s="25"/>
      <c r="P20" s="25"/>
      <c r="Q20" s="25"/>
    </row>
    <row r="21" spans="1:17" outlineLevel="3" x14ac:dyDescent="0.3">
      <c r="A21" s="176" t="s">
        <v>195</v>
      </c>
      <c r="B21" s="175">
        <v>0.82499999999999996</v>
      </c>
      <c r="C21" s="175">
        <v>34.682175000000001</v>
      </c>
      <c r="D21" s="197">
        <v>4.9680000000000002E-3</v>
      </c>
      <c r="E21" s="25"/>
      <c r="F21" s="25"/>
      <c r="G21" s="25"/>
      <c r="H21" s="25"/>
      <c r="I21" s="25"/>
      <c r="J21" s="25"/>
      <c r="K21" s="25"/>
      <c r="L21" s="25"/>
      <c r="M21" s="25"/>
      <c r="N21" s="25"/>
      <c r="O21" s="25"/>
      <c r="P21" s="25"/>
      <c r="Q21" s="25"/>
    </row>
    <row r="22" spans="1:17" outlineLevel="3" x14ac:dyDescent="0.3">
      <c r="A22" s="176" t="s">
        <v>196</v>
      </c>
      <c r="B22" s="175">
        <v>0.18221230804999999</v>
      </c>
      <c r="C22" s="175">
        <v>7.6600232181100001</v>
      </c>
      <c r="D22" s="197">
        <v>1.0970000000000001E-3</v>
      </c>
      <c r="E22" s="25"/>
      <c r="F22" s="25"/>
      <c r="G22" s="25"/>
      <c r="H22" s="25"/>
      <c r="I22" s="25"/>
      <c r="J22" s="25"/>
      <c r="K22" s="25"/>
      <c r="L22" s="25"/>
      <c r="M22" s="25"/>
      <c r="N22" s="25"/>
      <c r="O22" s="25"/>
      <c r="P22" s="25"/>
      <c r="Q22" s="25"/>
    </row>
    <row r="23" spans="1:17" outlineLevel="3" x14ac:dyDescent="0.3">
      <c r="A23" s="176" t="s">
        <v>197</v>
      </c>
      <c r="B23" s="175">
        <v>3.2418873770999999</v>
      </c>
      <c r="C23" s="175">
        <v>136.28570344676001</v>
      </c>
      <c r="D23" s="197">
        <v>1.9522999999999999E-2</v>
      </c>
      <c r="E23" s="25"/>
      <c r="F23" s="25"/>
      <c r="G23" s="25"/>
      <c r="H23" s="25"/>
      <c r="I23" s="25"/>
      <c r="J23" s="25"/>
      <c r="K23" s="25"/>
      <c r="L23" s="25"/>
      <c r="M23" s="25"/>
      <c r="N23" s="25"/>
      <c r="O23" s="25"/>
      <c r="P23" s="25"/>
      <c r="Q23" s="25"/>
    </row>
    <row r="24" spans="1:17" outlineLevel="3" x14ac:dyDescent="0.3">
      <c r="A24" s="176" t="s">
        <v>198</v>
      </c>
      <c r="B24" s="175">
        <v>0.85779034641999996</v>
      </c>
      <c r="C24" s="175">
        <v>36.060648373310002</v>
      </c>
      <c r="D24" s="197">
        <v>5.1659999999999996E-3</v>
      </c>
      <c r="E24" s="25"/>
      <c r="F24" s="25"/>
      <c r="G24" s="25"/>
      <c r="H24" s="25"/>
      <c r="I24" s="25"/>
      <c r="J24" s="25"/>
      <c r="K24" s="25"/>
      <c r="L24" s="25"/>
      <c r="M24" s="25"/>
      <c r="N24" s="25"/>
      <c r="O24" s="25"/>
      <c r="P24" s="25"/>
      <c r="Q24" s="25"/>
    </row>
    <row r="25" spans="1:17" outlineLevel="3" x14ac:dyDescent="0.3">
      <c r="A25" s="176" t="s">
        <v>199</v>
      </c>
      <c r="B25" s="175">
        <v>0.10621316801</v>
      </c>
      <c r="C25" s="175">
        <v>4.4650953701700002</v>
      </c>
      <c r="D25" s="197">
        <v>6.4000000000000005E-4</v>
      </c>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62"/>
      <c r="E39" s="25"/>
      <c r="F39" s="25"/>
      <c r="G39" s="25"/>
      <c r="H39" s="25"/>
      <c r="I39" s="25"/>
      <c r="J39" s="25"/>
      <c r="K39" s="25"/>
      <c r="L39" s="25"/>
      <c r="M39" s="25"/>
      <c r="N39" s="25"/>
      <c r="O39" s="25"/>
      <c r="P39" s="25"/>
      <c r="Q39" s="25"/>
    </row>
    <row r="40" spans="2:17" x14ac:dyDescent="0.3">
      <c r="B40" s="24"/>
      <c r="C40" s="24"/>
      <c r="D40" s="62"/>
      <c r="E40" s="25"/>
      <c r="F40" s="25"/>
      <c r="G40" s="25"/>
      <c r="H40" s="25"/>
      <c r="I40" s="25"/>
      <c r="J40" s="25"/>
      <c r="K40" s="25"/>
      <c r="L40" s="25"/>
      <c r="M40" s="25"/>
      <c r="N40" s="25"/>
      <c r="O40" s="25"/>
      <c r="P40" s="25"/>
      <c r="Q40" s="25"/>
    </row>
    <row r="41" spans="2:17" x14ac:dyDescent="0.3">
      <c r="B41" s="24"/>
      <c r="C41" s="24"/>
      <c r="D41" s="62"/>
      <c r="E41" s="25"/>
      <c r="F41" s="25"/>
      <c r="G41" s="25"/>
      <c r="H41" s="25"/>
      <c r="I41" s="25"/>
      <c r="J41" s="25"/>
      <c r="K41" s="25"/>
      <c r="L41" s="25"/>
      <c r="M41" s="25"/>
      <c r="N41" s="25"/>
      <c r="O41" s="25"/>
      <c r="P41" s="25"/>
      <c r="Q41" s="25"/>
    </row>
    <row r="42" spans="2:17" x14ac:dyDescent="0.3">
      <c r="B42" s="24"/>
      <c r="C42" s="24"/>
      <c r="D42" s="62"/>
      <c r="E42" s="25"/>
      <c r="F42" s="25"/>
      <c r="G42" s="25"/>
      <c r="H42" s="25"/>
      <c r="I42" s="25"/>
      <c r="J42" s="25"/>
      <c r="K42" s="25"/>
      <c r="L42" s="25"/>
      <c r="M42" s="25"/>
      <c r="N42" s="25"/>
      <c r="O42" s="25"/>
      <c r="P42" s="25"/>
      <c r="Q42" s="25"/>
    </row>
    <row r="43" spans="2:17" x14ac:dyDescent="0.3">
      <c r="B43" s="24"/>
      <c r="C43" s="24"/>
      <c r="D43" s="62"/>
      <c r="E43" s="25"/>
      <c r="F43" s="25"/>
      <c r="G43" s="25"/>
      <c r="H43" s="25"/>
      <c r="I43" s="25"/>
      <c r="J43" s="25"/>
      <c r="K43" s="25"/>
      <c r="L43" s="25"/>
      <c r="M43" s="25"/>
      <c r="N43" s="25"/>
      <c r="O43" s="25"/>
      <c r="P43" s="25"/>
      <c r="Q43" s="25"/>
    </row>
    <row r="44" spans="2:17" x14ac:dyDescent="0.3">
      <c r="B44" s="24"/>
      <c r="C44" s="24"/>
      <c r="D44" s="62"/>
      <c r="E44" s="25"/>
      <c r="F44" s="25"/>
      <c r="G44" s="25"/>
      <c r="H44" s="25"/>
      <c r="I44" s="25"/>
      <c r="J44" s="25"/>
      <c r="K44" s="25"/>
      <c r="L44" s="25"/>
      <c r="M44" s="25"/>
      <c r="N44" s="25"/>
      <c r="O44" s="25"/>
      <c r="P44" s="25"/>
      <c r="Q44" s="25"/>
    </row>
    <row r="45" spans="2:17" x14ac:dyDescent="0.3">
      <c r="B45" s="24"/>
      <c r="C45" s="24"/>
      <c r="D45" s="62"/>
      <c r="E45" s="25"/>
      <c r="F45" s="25"/>
      <c r="G45" s="25"/>
      <c r="H45" s="25"/>
      <c r="I45" s="25"/>
      <c r="J45" s="25"/>
      <c r="K45" s="25"/>
      <c r="L45" s="25"/>
      <c r="M45" s="25"/>
      <c r="N45" s="25"/>
      <c r="O45" s="25"/>
      <c r="P45" s="25"/>
      <c r="Q45" s="25"/>
    </row>
    <row r="46" spans="2:17" x14ac:dyDescent="0.3">
      <c r="B46" s="24"/>
      <c r="C46" s="24"/>
      <c r="D46" s="62"/>
      <c r="E46" s="25"/>
      <c r="F46" s="25"/>
      <c r="G46" s="25"/>
      <c r="H46" s="25"/>
      <c r="I46" s="25"/>
      <c r="J46" s="25"/>
      <c r="K46" s="25"/>
      <c r="L46" s="25"/>
      <c r="M46" s="25"/>
      <c r="N46" s="25"/>
      <c r="O46" s="25"/>
      <c r="P46" s="25"/>
      <c r="Q46" s="25"/>
    </row>
    <row r="47" spans="2:17" x14ac:dyDescent="0.3">
      <c r="B47" s="24"/>
      <c r="C47" s="24"/>
      <c r="D47" s="62"/>
      <c r="E47" s="25"/>
      <c r="F47" s="25"/>
      <c r="G47" s="25"/>
      <c r="H47" s="25"/>
      <c r="I47" s="25"/>
      <c r="J47" s="25"/>
      <c r="K47" s="25"/>
      <c r="L47" s="25"/>
      <c r="M47" s="25"/>
      <c r="N47" s="25"/>
      <c r="O47" s="25"/>
      <c r="P47" s="25"/>
      <c r="Q47" s="25"/>
    </row>
    <row r="48" spans="2:17" x14ac:dyDescent="0.3">
      <c r="B48" s="24"/>
      <c r="C48" s="24"/>
      <c r="D48" s="62"/>
      <c r="E48" s="25"/>
      <c r="F48" s="25"/>
      <c r="G48" s="25"/>
      <c r="H48" s="25"/>
      <c r="I48" s="25"/>
      <c r="J48" s="25"/>
      <c r="K48" s="25"/>
      <c r="L48" s="25"/>
      <c r="M48" s="25"/>
      <c r="N48" s="25"/>
      <c r="O48" s="25"/>
      <c r="P48" s="25"/>
      <c r="Q48" s="25"/>
    </row>
    <row r="49" spans="2:17" x14ac:dyDescent="0.3">
      <c r="B49" s="24"/>
      <c r="C49" s="24"/>
      <c r="D49" s="62"/>
      <c r="E49" s="25"/>
      <c r="F49" s="25"/>
      <c r="G49" s="25"/>
      <c r="H49" s="25"/>
      <c r="I49" s="25"/>
      <c r="J49" s="25"/>
      <c r="K49" s="25"/>
      <c r="L49" s="25"/>
      <c r="M49" s="25"/>
      <c r="N49" s="25"/>
      <c r="O49" s="25"/>
      <c r="P49" s="25"/>
      <c r="Q49" s="25"/>
    </row>
    <row r="50" spans="2:17" x14ac:dyDescent="0.3">
      <c r="B50" s="24"/>
      <c r="C50" s="24"/>
      <c r="D50" s="62"/>
      <c r="E50" s="25"/>
      <c r="F50" s="25"/>
      <c r="G50" s="25"/>
      <c r="H50" s="25"/>
      <c r="I50" s="25"/>
      <c r="J50" s="25"/>
      <c r="K50" s="25"/>
      <c r="L50" s="25"/>
      <c r="M50" s="25"/>
      <c r="N50" s="25"/>
      <c r="O50" s="25"/>
      <c r="P50" s="25"/>
      <c r="Q50" s="25"/>
    </row>
    <row r="51" spans="2:17" x14ac:dyDescent="0.3">
      <c r="B51" s="24"/>
      <c r="C51" s="24"/>
      <c r="D51" s="62"/>
      <c r="E51" s="25"/>
      <c r="F51" s="25"/>
      <c r="G51" s="25"/>
      <c r="H51" s="25"/>
      <c r="I51" s="25"/>
      <c r="J51" s="25"/>
      <c r="K51" s="25"/>
      <c r="L51" s="25"/>
      <c r="M51" s="25"/>
      <c r="N51" s="25"/>
      <c r="O51" s="25"/>
      <c r="P51" s="25"/>
      <c r="Q51" s="25"/>
    </row>
    <row r="52" spans="2:17" x14ac:dyDescent="0.3">
      <c r="B52" s="24"/>
      <c r="C52" s="24"/>
      <c r="D52" s="62"/>
      <c r="E52" s="25"/>
      <c r="F52" s="25"/>
      <c r="G52" s="25"/>
      <c r="H52" s="25"/>
      <c r="I52" s="25"/>
      <c r="J52" s="25"/>
      <c r="K52" s="25"/>
      <c r="L52" s="25"/>
      <c r="M52" s="25"/>
      <c r="N52" s="25"/>
      <c r="O52" s="25"/>
      <c r="P52" s="25"/>
      <c r="Q52" s="25"/>
    </row>
    <row r="53" spans="2:17" x14ac:dyDescent="0.3">
      <c r="B53" s="24"/>
      <c r="C53" s="24"/>
      <c r="D53" s="62"/>
      <c r="E53" s="25"/>
      <c r="F53" s="25"/>
      <c r="G53" s="25"/>
      <c r="H53" s="25"/>
      <c r="I53" s="25"/>
      <c r="J53" s="25"/>
      <c r="K53" s="25"/>
      <c r="L53" s="25"/>
      <c r="M53" s="25"/>
      <c r="N53" s="25"/>
      <c r="O53" s="25"/>
      <c r="P53" s="25"/>
      <c r="Q53" s="25"/>
    </row>
    <row r="54" spans="2:17" x14ac:dyDescent="0.3">
      <c r="B54" s="24"/>
      <c r="C54" s="24"/>
      <c r="D54" s="62"/>
      <c r="E54" s="25"/>
      <c r="F54" s="25"/>
      <c r="G54" s="25"/>
      <c r="H54" s="25"/>
      <c r="I54" s="25"/>
      <c r="J54" s="25"/>
      <c r="K54" s="25"/>
      <c r="L54" s="25"/>
      <c r="M54" s="25"/>
      <c r="N54" s="25"/>
      <c r="O54" s="25"/>
      <c r="P54" s="25"/>
      <c r="Q54" s="25"/>
    </row>
    <row r="55" spans="2:17" x14ac:dyDescent="0.3">
      <c r="B55" s="24"/>
      <c r="C55" s="24"/>
      <c r="D55" s="62"/>
      <c r="E55" s="25"/>
      <c r="F55" s="25"/>
      <c r="G55" s="25"/>
      <c r="H55" s="25"/>
      <c r="I55" s="25"/>
      <c r="J55" s="25"/>
      <c r="K55" s="25"/>
      <c r="L55" s="25"/>
      <c r="M55" s="25"/>
      <c r="N55" s="25"/>
      <c r="O55" s="25"/>
      <c r="P55" s="25"/>
      <c r="Q55" s="25"/>
    </row>
    <row r="56" spans="2:17" x14ac:dyDescent="0.3">
      <c r="B56" s="24"/>
      <c r="C56" s="24"/>
      <c r="D56" s="62"/>
      <c r="E56" s="25"/>
      <c r="F56" s="25"/>
      <c r="G56" s="25"/>
      <c r="H56" s="25"/>
      <c r="I56" s="25"/>
      <c r="J56" s="25"/>
      <c r="K56" s="25"/>
      <c r="L56" s="25"/>
      <c r="M56" s="25"/>
      <c r="N56" s="25"/>
      <c r="O56" s="25"/>
      <c r="P56" s="25"/>
      <c r="Q56" s="25"/>
    </row>
    <row r="57" spans="2:17" x14ac:dyDescent="0.3">
      <c r="B57" s="24"/>
      <c r="C57" s="24"/>
      <c r="D57" s="62"/>
      <c r="E57" s="25"/>
      <c r="F57" s="25"/>
      <c r="G57" s="25"/>
      <c r="H57" s="25"/>
      <c r="I57" s="25"/>
      <c r="J57" s="25"/>
      <c r="K57" s="25"/>
      <c r="L57" s="25"/>
      <c r="M57" s="25"/>
      <c r="N57" s="25"/>
      <c r="O57" s="25"/>
      <c r="P57" s="25"/>
      <c r="Q57" s="25"/>
    </row>
    <row r="58" spans="2:17" x14ac:dyDescent="0.3">
      <c r="B58" s="24"/>
      <c r="C58" s="24"/>
      <c r="D58" s="62"/>
      <c r="E58" s="25"/>
      <c r="F58" s="25"/>
      <c r="G58" s="25"/>
      <c r="H58" s="25"/>
      <c r="I58" s="25"/>
      <c r="J58" s="25"/>
      <c r="K58" s="25"/>
      <c r="L58" s="25"/>
      <c r="M58" s="25"/>
      <c r="N58" s="25"/>
      <c r="O58" s="25"/>
      <c r="P58" s="25"/>
      <c r="Q58" s="25"/>
    </row>
    <row r="59" spans="2:17" x14ac:dyDescent="0.3">
      <c r="B59" s="24"/>
      <c r="C59" s="24"/>
      <c r="D59" s="62"/>
      <c r="E59" s="25"/>
      <c r="F59" s="25"/>
      <c r="G59" s="25"/>
      <c r="H59" s="25"/>
      <c r="I59" s="25"/>
      <c r="J59" s="25"/>
      <c r="K59" s="25"/>
      <c r="L59" s="25"/>
      <c r="M59" s="25"/>
      <c r="N59" s="25"/>
      <c r="O59" s="25"/>
      <c r="P59" s="25"/>
      <c r="Q59" s="25"/>
    </row>
    <row r="60" spans="2:17" x14ac:dyDescent="0.3">
      <c r="B60" s="24"/>
      <c r="C60" s="24"/>
      <c r="D60" s="62"/>
      <c r="E60" s="25"/>
      <c r="F60" s="25"/>
      <c r="G60" s="25"/>
      <c r="H60" s="25"/>
      <c r="I60" s="25"/>
      <c r="J60" s="25"/>
      <c r="K60" s="25"/>
      <c r="L60" s="25"/>
      <c r="M60" s="25"/>
      <c r="N60" s="25"/>
      <c r="O60" s="25"/>
      <c r="P60" s="25"/>
      <c r="Q60" s="25"/>
    </row>
    <row r="61" spans="2:17" x14ac:dyDescent="0.3">
      <c r="B61" s="24"/>
      <c r="C61" s="24"/>
      <c r="D61" s="62"/>
      <c r="E61" s="25"/>
      <c r="F61" s="25"/>
      <c r="G61" s="25"/>
      <c r="H61" s="25"/>
      <c r="I61" s="25"/>
      <c r="J61" s="25"/>
      <c r="K61" s="25"/>
      <c r="L61" s="25"/>
      <c r="M61" s="25"/>
      <c r="N61" s="25"/>
      <c r="O61" s="25"/>
      <c r="P61" s="25"/>
      <c r="Q61" s="25"/>
    </row>
    <row r="62" spans="2:17" x14ac:dyDescent="0.3">
      <c r="B62" s="24"/>
      <c r="C62" s="24"/>
      <c r="D62" s="62"/>
      <c r="E62" s="25"/>
      <c r="F62" s="25"/>
      <c r="G62" s="25"/>
      <c r="H62" s="25"/>
      <c r="I62" s="25"/>
      <c r="J62" s="25"/>
      <c r="K62" s="25"/>
      <c r="L62" s="25"/>
      <c r="M62" s="25"/>
      <c r="N62" s="25"/>
      <c r="O62" s="25"/>
      <c r="P62" s="25"/>
      <c r="Q62" s="25"/>
    </row>
    <row r="63" spans="2:17" x14ac:dyDescent="0.3">
      <c r="B63" s="24"/>
      <c r="C63" s="24"/>
      <c r="D63" s="62"/>
      <c r="E63" s="25"/>
      <c r="F63" s="25"/>
      <c r="G63" s="25"/>
      <c r="H63" s="25"/>
      <c r="I63" s="25"/>
      <c r="J63" s="25"/>
      <c r="K63" s="25"/>
      <c r="L63" s="25"/>
      <c r="M63" s="25"/>
      <c r="N63" s="25"/>
      <c r="O63" s="25"/>
      <c r="P63" s="25"/>
      <c r="Q63" s="25"/>
    </row>
    <row r="64" spans="2:17" x14ac:dyDescent="0.3">
      <c r="B64" s="24"/>
      <c r="C64" s="24"/>
      <c r="D64" s="62"/>
      <c r="E64" s="25"/>
      <c r="F64" s="25"/>
      <c r="G64" s="25"/>
      <c r="H64" s="25"/>
      <c r="I64" s="25"/>
      <c r="J64" s="25"/>
      <c r="K64" s="25"/>
      <c r="L64" s="25"/>
      <c r="M64" s="25"/>
      <c r="N64" s="25"/>
      <c r="O64" s="25"/>
      <c r="P64" s="25"/>
      <c r="Q64" s="25"/>
    </row>
    <row r="65" spans="2:17" x14ac:dyDescent="0.3">
      <c r="B65" s="24"/>
      <c r="C65" s="24"/>
      <c r="D65" s="62"/>
      <c r="E65" s="25"/>
      <c r="F65" s="25"/>
      <c r="G65" s="25"/>
      <c r="H65" s="25"/>
      <c r="I65" s="25"/>
      <c r="J65" s="25"/>
      <c r="K65" s="25"/>
      <c r="L65" s="25"/>
      <c r="M65" s="25"/>
      <c r="N65" s="25"/>
      <c r="O65" s="25"/>
      <c r="P65" s="25"/>
      <c r="Q65" s="25"/>
    </row>
    <row r="66" spans="2:17" x14ac:dyDescent="0.3">
      <c r="B66" s="24"/>
      <c r="C66" s="24"/>
      <c r="D66" s="62"/>
      <c r="E66" s="25"/>
      <c r="F66" s="25"/>
      <c r="G66" s="25"/>
      <c r="H66" s="25"/>
      <c r="I66" s="25"/>
      <c r="J66" s="25"/>
      <c r="K66" s="25"/>
      <c r="L66" s="25"/>
      <c r="M66" s="25"/>
      <c r="N66" s="25"/>
      <c r="O66" s="25"/>
      <c r="P66" s="25"/>
      <c r="Q66" s="25"/>
    </row>
    <row r="67" spans="2:17" x14ac:dyDescent="0.3">
      <c r="B67" s="24"/>
      <c r="C67" s="24"/>
      <c r="D67" s="62"/>
      <c r="E67" s="25"/>
      <c r="F67" s="25"/>
      <c r="G67" s="25"/>
      <c r="H67" s="25"/>
      <c r="I67" s="25"/>
      <c r="J67" s="25"/>
      <c r="K67" s="25"/>
      <c r="L67" s="25"/>
      <c r="M67" s="25"/>
      <c r="N67" s="25"/>
      <c r="O67" s="25"/>
      <c r="P67" s="25"/>
      <c r="Q67" s="25"/>
    </row>
    <row r="68" spans="2:17" x14ac:dyDescent="0.3">
      <c r="B68" s="24"/>
      <c r="C68" s="24"/>
      <c r="D68" s="62"/>
      <c r="E68" s="25"/>
      <c r="F68" s="25"/>
      <c r="G68" s="25"/>
      <c r="H68" s="25"/>
      <c r="I68" s="25"/>
      <c r="J68" s="25"/>
      <c r="K68" s="25"/>
      <c r="L68" s="25"/>
      <c r="M68" s="25"/>
      <c r="N68" s="25"/>
      <c r="O68" s="25"/>
      <c r="P68" s="25"/>
      <c r="Q68" s="25"/>
    </row>
    <row r="69" spans="2:17" x14ac:dyDescent="0.3">
      <c r="B69" s="24"/>
      <c r="C69" s="24"/>
      <c r="D69" s="62"/>
      <c r="E69" s="25"/>
      <c r="F69" s="25"/>
      <c r="G69" s="25"/>
      <c r="H69" s="25"/>
      <c r="I69" s="25"/>
      <c r="J69" s="25"/>
      <c r="K69" s="25"/>
      <c r="L69" s="25"/>
      <c r="M69" s="25"/>
      <c r="N69" s="25"/>
      <c r="O69" s="25"/>
      <c r="P69" s="25"/>
      <c r="Q69" s="25"/>
    </row>
    <row r="70" spans="2:17" x14ac:dyDescent="0.3">
      <c r="B70" s="24"/>
      <c r="C70" s="24"/>
      <c r="D70" s="62"/>
      <c r="E70" s="25"/>
      <c r="F70" s="25"/>
      <c r="G70" s="25"/>
      <c r="H70" s="25"/>
      <c r="I70" s="25"/>
      <c r="J70" s="25"/>
      <c r="K70" s="25"/>
      <c r="L70" s="25"/>
      <c r="M70" s="25"/>
      <c r="N70" s="25"/>
      <c r="O70" s="25"/>
      <c r="P70" s="25"/>
      <c r="Q70" s="25"/>
    </row>
    <row r="71" spans="2:17" x14ac:dyDescent="0.3">
      <c r="B71" s="24"/>
      <c r="C71" s="24"/>
      <c r="D71" s="62"/>
      <c r="E71" s="25"/>
      <c r="F71" s="25"/>
      <c r="G71" s="25"/>
      <c r="H71" s="25"/>
      <c r="I71" s="25"/>
      <c r="J71" s="25"/>
      <c r="K71" s="25"/>
      <c r="L71" s="25"/>
      <c r="M71" s="25"/>
      <c r="N71" s="25"/>
      <c r="O71" s="25"/>
      <c r="P71" s="25"/>
      <c r="Q71" s="25"/>
    </row>
    <row r="72" spans="2:17" x14ac:dyDescent="0.3">
      <c r="B72" s="24"/>
      <c r="C72" s="24"/>
      <c r="D72" s="62"/>
      <c r="E72" s="25"/>
      <c r="F72" s="25"/>
      <c r="G72" s="25"/>
      <c r="H72" s="25"/>
      <c r="I72" s="25"/>
      <c r="J72" s="25"/>
      <c r="K72" s="25"/>
      <c r="L72" s="25"/>
      <c r="M72" s="25"/>
      <c r="N72" s="25"/>
      <c r="O72" s="25"/>
      <c r="P72" s="25"/>
      <c r="Q72" s="25"/>
    </row>
    <row r="73" spans="2:17" x14ac:dyDescent="0.3">
      <c r="B73" s="24"/>
      <c r="C73" s="24"/>
      <c r="D73" s="62"/>
      <c r="E73" s="25"/>
      <c r="F73" s="25"/>
      <c r="G73" s="25"/>
      <c r="H73" s="25"/>
      <c r="I73" s="25"/>
      <c r="J73" s="25"/>
      <c r="K73" s="25"/>
      <c r="L73" s="25"/>
      <c r="M73" s="25"/>
      <c r="N73" s="25"/>
      <c r="O73" s="25"/>
      <c r="P73" s="25"/>
      <c r="Q73" s="25"/>
    </row>
    <row r="74" spans="2:17" x14ac:dyDescent="0.3">
      <c r="B74" s="24"/>
      <c r="C74" s="24"/>
      <c r="D74" s="62"/>
      <c r="E74" s="25"/>
      <c r="F74" s="25"/>
      <c r="G74" s="25"/>
      <c r="H74" s="25"/>
      <c r="I74" s="25"/>
      <c r="J74" s="25"/>
      <c r="K74" s="25"/>
      <c r="L74" s="25"/>
      <c r="M74" s="25"/>
      <c r="N74" s="25"/>
      <c r="O74" s="25"/>
      <c r="P74" s="25"/>
      <c r="Q74" s="25"/>
    </row>
    <row r="75" spans="2:17" x14ac:dyDescent="0.3">
      <c r="B75" s="24"/>
      <c r="C75" s="24"/>
      <c r="D75" s="62"/>
      <c r="E75" s="25"/>
      <c r="F75" s="25"/>
      <c r="G75" s="25"/>
      <c r="H75" s="25"/>
      <c r="I75" s="25"/>
      <c r="J75" s="25"/>
      <c r="K75" s="25"/>
      <c r="L75" s="25"/>
      <c r="M75" s="25"/>
      <c r="N75" s="25"/>
      <c r="O75" s="25"/>
      <c r="P75" s="25"/>
      <c r="Q75" s="25"/>
    </row>
    <row r="76" spans="2:17" x14ac:dyDescent="0.3">
      <c r="B76" s="24"/>
      <c r="C76" s="24"/>
      <c r="D76" s="62"/>
      <c r="E76" s="25"/>
      <c r="F76" s="25"/>
      <c r="G76" s="25"/>
      <c r="H76" s="25"/>
      <c r="I76" s="25"/>
      <c r="J76" s="25"/>
      <c r="K76" s="25"/>
      <c r="L76" s="25"/>
      <c r="M76" s="25"/>
      <c r="N76" s="25"/>
      <c r="O76" s="25"/>
      <c r="P76" s="25"/>
      <c r="Q76" s="25"/>
    </row>
    <row r="77" spans="2:17" x14ac:dyDescent="0.3">
      <c r="B77" s="24"/>
      <c r="C77" s="24"/>
      <c r="D77" s="62"/>
      <c r="E77" s="25"/>
      <c r="F77" s="25"/>
      <c r="G77" s="25"/>
      <c r="H77" s="25"/>
      <c r="I77" s="25"/>
      <c r="J77" s="25"/>
      <c r="K77" s="25"/>
      <c r="L77" s="25"/>
      <c r="M77" s="25"/>
      <c r="N77" s="25"/>
      <c r="O77" s="25"/>
      <c r="P77" s="25"/>
      <c r="Q77" s="25"/>
    </row>
    <row r="78" spans="2:17" x14ac:dyDescent="0.3">
      <c r="B78" s="24"/>
      <c r="C78" s="24"/>
      <c r="D78" s="62"/>
      <c r="E78" s="25"/>
      <c r="F78" s="25"/>
      <c r="G78" s="25"/>
      <c r="H78" s="25"/>
      <c r="I78" s="25"/>
      <c r="J78" s="25"/>
      <c r="K78" s="25"/>
      <c r="L78" s="25"/>
      <c r="M78" s="25"/>
      <c r="N78" s="25"/>
      <c r="O78" s="25"/>
      <c r="P78" s="25"/>
      <c r="Q78" s="25"/>
    </row>
    <row r="79" spans="2:17" x14ac:dyDescent="0.3">
      <c r="B79" s="24"/>
      <c r="C79" s="24"/>
      <c r="D79" s="62"/>
      <c r="E79" s="25"/>
      <c r="F79" s="25"/>
      <c r="G79" s="25"/>
      <c r="H79" s="25"/>
      <c r="I79" s="25"/>
      <c r="J79" s="25"/>
      <c r="K79" s="25"/>
      <c r="L79" s="25"/>
      <c r="M79" s="25"/>
      <c r="N79" s="25"/>
      <c r="O79" s="25"/>
      <c r="P79" s="25"/>
      <c r="Q79" s="25"/>
    </row>
    <row r="80" spans="2:17" x14ac:dyDescent="0.3">
      <c r="B80" s="24"/>
      <c r="C80" s="24"/>
      <c r="D80" s="62"/>
      <c r="E80" s="25"/>
      <c r="F80" s="25"/>
      <c r="G80" s="25"/>
      <c r="H80" s="25"/>
      <c r="I80" s="25"/>
      <c r="J80" s="25"/>
      <c r="K80" s="25"/>
      <c r="L80" s="25"/>
      <c r="M80" s="25"/>
      <c r="N80" s="25"/>
      <c r="O80" s="25"/>
      <c r="P80" s="25"/>
      <c r="Q80" s="25"/>
    </row>
    <row r="81" spans="2:17" x14ac:dyDescent="0.3">
      <c r="B81" s="24"/>
      <c r="C81" s="24"/>
      <c r="D81" s="62"/>
      <c r="E81" s="25"/>
      <c r="F81" s="25"/>
      <c r="G81" s="25"/>
      <c r="H81" s="25"/>
      <c r="I81" s="25"/>
      <c r="J81" s="25"/>
      <c r="K81" s="25"/>
      <c r="L81" s="25"/>
      <c r="M81" s="25"/>
      <c r="N81" s="25"/>
      <c r="O81" s="25"/>
      <c r="P81" s="25"/>
      <c r="Q81" s="25"/>
    </row>
    <row r="82" spans="2:17" x14ac:dyDescent="0.3">
      <c r="B82" s="24"/>
      <c r="C82" s="24"/>
      <c r="D82" s="62"/>
      <c r="E82" s="25"/>
      <c r="F82" s="25"/>
      <c r="G82" s="25"/>
      <c r="H82" s="25"/>
      <c r="I82" s="25"/>
      <c r="J82" s="25"/>
      <c r="K82" s="25"/>
      <c r="L82" s="25"/>
      <c r="M82" s="25"/>
      <c r="N82" s="25"/>
      <c r="O82" s="25"/>
      <c r="P82" s="25"/>
      <c r="Q82" s="25"/>
    </row>
    <row r="83" spans="2:17" x14ac:dyDescent="0.3">
      <c r="B83" s="24"/>
      <c r="C83" s="24"/>
      <c r="D83" s="62"/>
      <c r="E83" s="25"/>
      <c r="F83" s="25"/>
      <c r="G83" s="25"/>
      <c r="H83" s="25"/>
      <c r="I83" s="25"/>
      <c r="J83" s="25"/>
      <c r="K83" s="25"/>
      <c r="L83" s="25"/>
      <c r="M83" s="25"/>
      <c r="N83" s="25"/>
      <c r="O83" s="25"/>
      <c r="P83" s="25"/>
      <c r="Q83" s="25"/>
    </row>
    <row r="84" spans="2:17" x14ac:dyDescent="0.3">
      <c r="B84" s="24"/>
      <c r="C84" s="24"/>
      <c r="D84" s="62"/>
      <c r="E84" s="25"/>
      <c r="F84" s="25"/>
      <c r="G84" s="25"/>
      <c r="H84" s="25"/>
      <c r="I84" s="25"/>
      <c r="J84" s="25"/>
      <c r="K84" s="25"/>
      <c r="L84" s="25"/>
      <c r="M84" s="25"/>
      <c r="N84" s="25"/>
      <c r="O84" s="25"/>
      <c r="P84" s="25"/>
      <c r="Q84" s="25"/>
    </row>
    <row r="85" spans="2:17" x14ac:dyDescent="0.3">
      <c r="B85" s="24"/>
      <c r="C85" s="24"/>
      <c r="D85" s="62"/>
      <c r="E85" s="25"/>
      <c r="F85" s="25"/>
      <c r="G85" s="25"/>
      <c r="H85" s="25"/>
      <c r="I85" s="25"/>
      <c r="J85" s="25"/>
      <c r="K85" s="25"/>
      <c r="L85" s="25"/>
      <c r="M85" s="25"/>
      <c r="N85" s="25"/>
      <c r="O85" s="25"/>
      <c r="P85" s="25"/>
      <c r="Q85" s="25"/>
    </row>
    <row r="86" spans="2:17" x14ac:dyDescent="0.3">
      <c r="B86" s="24"/>
      <c r="C86" s="24"/>
      <c r="D86" s="62"/>
      <c r="E86" s="25"/>
      <c r="F86" s="25"/>
      <c r="G86" s="25"/>
      <c r="H86" s="25"/>
      <c r="I86" s="25"/>
      <c r="J86" s="25"/>
      <c r="K86" s="25"/>
      <c r="L86" s="25"/>
      <c r="M86" s="25"/>
      <c r="N86" s="25"/>
      <c r="O86" s="25"/>
      <c r="P86" s="25"/>
      <c r="Q86" s="25"/>
    </row>
    <row r="87" spans="2:17" x14ac:dyDescent="0.3">
      <c r="B87" s="24"/>
      <c r="C87" s="24"/>
      <c r="D87" s="62"/>
      <c r="E87" s="25"/>
      <c r="F87" s="25"/>
      <c r="G87" s="25"/>
      <c r="H87" s="25"/>
      <c r="I87" s="25"/>
      <c r="J87" s="25"/>
      <c r="K87" s="25"/>
      <c r="L87" s="25"/>
      <c r="M87" s="25"/>
      <c r="N87" s="25"/>
      <c r="O87" s="25"/>
      <c r="P87" s="25"/>
      <c r="Q87" s="25"/>
    </row>
    <row r="88" spans="2:17" x14ac:dyDescent="0.3">
      <c r="B88" s="24"/>
      <c r="C88" s="24"/>
      <c r="D88" s="62"/>
      <c r="E88" s="25"/>
      <c r="F88" s="25"/>
      <c r="G88" s="25"/>
      <c r="H88" s="25"/>
      <c r="I88" s="25"/>
      <c r="J88" s="25"/>
      <c r="K88" s="25"/>
      <c r="L88" s="25"/>
      <c r="M88" s="25"/>
      <c r="N88" s="25"/>
      <c r="O88" s="25"/>
      <c r="P88" s="25"/>
      <c r="Q88" s="25"/>
    </row>
    <row r="89" spans="2:17" x14ac:dyDescent="0.3">
      <c r="B89" s="24"/>
      <c r="C89" s="24"/>
      <c r="D89" s="62"/>
      <c r="E89" s="25"/>
      <c r="F89" s="25"/>
      <c r="G89" s="25"/>
      <c r="H89" s="25"/>
      <c r="I89" s="25"/>
      <c r="J89" s="25"/>
      <c r="K89" s="25"/>
      <c r="L89" s="25"/>
      <c r="M89" s="25"/>
      <c r="N89" s="25"/>
      <c r="O89" s="25"/>
      <c r="P89" s="25"/>
      <c r="Q89" s="25"/>
    </row>
    <row r="90" spans="2:17" x14ac:dyDescent="0.3">
      <c r="B90" s="24"/>
      <c r="C90" s="24"/>
      <c r="D90" s="62"/>
      <c r="E90" s="25"/>
      <c r="F90" s="25"/>
      <c r="G90" s="25"/>
      <c r="H90" s="25"/>
      <c r="I90" s="25"/>
      <c r="J90" s="25"/>
      <c r="K90" s="25"/>
      <c r="L90" s="25"/>
      <c r="M90" s="25"/>
      <c r="N90" s="25"/>
      <c r="O90" s="25"/>
      <c r="P90" s="25"/>
      <c r="Q90" s="25"/>
    </row>
    <row r="91" spans="2:17" x14ac:dyDescent="0.3">
      <c r="B91" s="24"/>
      <c r="C91" s="24"/>
      <c r="D91" s="62"/>
      <c r="E91" s="25"/>
      <c r="F91" s="25"/>
      <c r="G91" s="25"/>
      <c r="H91" s="25"/>
      <c r="I91" s="25"/>
      <c r="J91" s="25"/>
      <c r="K91" s="25"/>
      <c r="L91" s="25"/>
      <c r="M91" s="25"/>
      <c r="N91" s="25"/>
      <c r="O91" s="25"/>
      <c r="P91" s="25"/>
      <c r="Q91" s="25"/>
    </row>
    <row r="92" spans="2:17" x14ac:dyDescent="0.3">
      <c r="B92" s="24"/>
      <c r="C92" s="24"/>
      <c r="D92" s="62"/>
      <c r="E92" s="25"/>
      <c r="F92" s="25"/>
      <c r="G92" s="25"/>
      <c r="H92" s="25"/>
      <c r="I92" s="25"/>
      <c r="J92" s="25"/>
      <c r="K92" s="25"/>
      <c r="L92" s="25"/>
      <c r="M92" s="25"/>
      <c r="N92" s="25"/>
      <c r="O92" s="25"/>
      <c r="P92" s="25"/>
      <c r="Q92" s="25"/>
    </row>
    <row r="93" spans="2:17" x14ac:dyDescent="0.3">
      <c r="B93" s="24"/>
      <c r="C93" s="24"/>
      <c r="D93" s="62"/>
      <c r="E93" s="25"/>
      <c r="F93" s="25"/>
      <c r="G93" s="25"/>
      <c r="H93" s="25"/>
      <c r="I93" s="25"/>
      <c r="J93" s="25"/>
      <c r="K93" s="25"/>
      <c r="L93" s="25"/>
      <c r="M93" s="25"/>
      <c r="N93" s="25"/>
      <c r="O93" s="25"/>
      <c r="P93" s="25"/>
      <c r="Q93" s="25"/>
    </row>
    <row r="94" spans="2:17" x14ac:dyDescent="0.3">
      <c r="B94" s="24"/>
      <c r="C94" s="24"/>
      <c r="D94" s="62"/>
      <c r="E94" s="25"/>
      <c r="F94" s="25"/>
      <c r="G94" s="25"/>
      <c r="H94" s="25"/>
      <c r="I94" s="25"/>
      <c r="J94" s="25"/>
      <c r="K94" s="25"/>
      <c r="L94" s="25"/>
      <c r="M94" s="25"/>
      <c r="N94" s="25"/>
      <c r="O94" s="25"/>
      <c r="P94" s="25"/>
      <c r="Q94" s="25"/>
    </row>
    <row r="95" spans="2:17" x14ac:dyDescent="0.3">
      <c r="B95" s="24"/>
      <c r="C95" s="24"/>
      <c r="D95" s="62"/>
      <c r="E95" s="25"/>
      <c r="F95" s="25"/>
      <c r="G95" s="25"/>
      <c r="H95" s="25"/>
      <c r="I95" s="25"/>
      <c r="J95" s="25"/>
      <c r="K95" s="25"/>
      <c r="L95" s="25"/>
      <c r="M95" s="25"/>
      <c r="N95" s="25"/>
      <c r="O95" s="25"/>
      <c r="P95" s="25"/>
      <c r="Q95" s="25"/>
    </row>
    <row r="96" spans="2:17" x14ac:dyDescent="0.3">
      <c r="B96" s="24"/>
      <c r="C96" s="24"/>
      <c r="D96" s="62"/>
      <c r="E96" s="25"/>
      <c r="F96" s="25"/>
      <c r="G96" s="25"/>
      <c r="H96" s="25"/>
      <c r="I96" s="25"/>
      <c r="J96" s="25"/>
      <c r="K96" s="25"/>
      <c r="L96" s="25"/>
      <c r="M96" s="25"/>
      <c r="N96" s="25"/>
      <c r="O96" s="25"/>
      <c r="P96" s="25"/>
      <c r="Q96" s="25"/>
    </row>
    <row r="97" spans="2:17" x14ac:dyDescent="0.3">
      <c r="B97" s="24"/>
      <c r="C97" s="24"/>
      <c r="D97" s="62"/>
      <c r="E97" s="25"/>
      <c r="F97" s="25"/>
      <c r="G97" s="25"/>
      <c r="H97" s="25"/>
      <c r="I97" s="25"/>
      <c r="J97" s="25"/>
      <c r="K97" s="25"/>
      <c r="L97" s="25"/>
      <c r="M97" s="25"/>
      <c r="N97" s="25"/>
      <c r="O97" s="25"/>
      <c r="P97" s="25"/>
      <c r="Q97" s="25"/>
    </row>
    <row r="98" spans="2:17" x14ac:dyDescent="0.3">
      <c r="B98" s="24"/>
      <c r="C98" s="24"/>
      <c r="D98" s="62"/>
      <c r="E98" s="25"/>
      <c r="F98" s="25"/>
      <c r="G98" s="25"/>
      <c r="H98" s="25"/>
      <c r="I98" s="25"/>
      <c r="J98" s="25"/>
      <c r="K98" s="25"/>
      <c r="L98" s="25"/>
      <c r="M98" s="25"/>
      <c r="N98" s="25"/>
      <c r="O98" s="25"/>
      <c r="P98" s="25"/>
      <c r="Q98" s="25"/>
    </row>
    <row r="99" spans="2:17" x14ac:dyDescent="0.3">
      <c r="B99" s="24"/>
      <c r="C99" s="24"/>
      <c r="D99" s="62"/>
      <c r="E99" s="25"/>
      <c r="F99" s="25"/>
      <c r="G99" s="25"/>
      <c r="H99" s="25"/>
      <c r="I99" s="25"/>
      <c r="J99" s="25"/>
      <c r="K99" s="25"/>
      <c r="L99" s="25"/>
      <c r="M99" s="25"/>
      <c r="N99" s="25"/>
      <c r="O99" s="25"/>
      <c r="P99" s="25"/>
      <c r="Q99" s="25"/>
    </row>
    <row r="100" spans="2:17" x14ac:dyDescent="0.3">
      <c r="B100" s="24"/>
      <c r="C100" s="24"/>
      <c r="D100" s="62"/>
      <c r="E100" s="25"/>
      <c r="F100" s="25"/>
      <c r="G100" s="25"/>
      <c r="H100" s="25"/>
      <c r="I100" s="25"/>
      <c r="J100" s="25"/>
      <c r="K100" s="25"/>
      <c r="L100" s="25"/>
      <c r="M100" s="25"/>
      <c r="N100" s="25"/>
      <c r="O100" s="25"/>
      <c r="P100" s="25"/>
      <c r="Q100" s="25"/>
    </row>
    <row r="101" spans="2:17" x14ac:dyDescent="0.3">
      <c r="B101" s="24"/>
      <c r="C101" s="24"/>
      <c r="D101" s="62"/>
      <c r="E101" s="25"/>
      <c r="F101" s="25"/>
      <c r="G101" s="25"/>
      <c r="H101" s="25"/>
      <c r="I101" s="25"/>
      <c r="J101" s="25"/>
      <c r="K101" s="25"/>
      <c r="L101" s="25"/>
      <c r="M101" s="25"/>
      <c r="N101" s="25"/>
      <c r="O101" s="25"/>
      <c r="P101" s="25"/>
      <c r="Q101" s="25"/>
    </row>
    <row r="102" spans="2:17" x14ac:dyDescent="0.3">
      <c r="B102" s="24"/>
      <c r="C102" s="24"/>
      <c r="D102" s="62"/>
      <c r="E102" s="25"/>
      <c r="F102" s="25"/>
      <c r="G102" s="25"/>
      <c r="H102" s="25"/>
      <c r="I102" s="25"/>
      <c r="J102" s="25"/>
      <c r="K102" s="25"/>
      <c r="L102" s="25"/>
      <c r="M102" s="25"/>
      <c r="N102" s="25"/>
      <c r="O102" s="25"/>
      <c r="P102" s="25"/>
      <c r="Q102" s="25"/>
    </row>
    <row r="103" spans="2:17" x14ac:dyDescent="0.3">
      <c r="B103" s="24"/>
      <c r="C103" s="24"/>
      <c r="D103" s="62"/>
      <c r="E103" s="25"/>
      <c r="F103" s="25"/>
      <c r="G103" s="25"/>
      <c r="H103" s="25"/>
      <c r="I103" s="25"/>
      <c r="J103" s="25"/>
      <c r="K103" s="25"/>
      <c r="L103" s="25"/>
      <c r="M103" s="25"/>
      <c r="N103" s="25"/>
      <c r="O103" s="25"/>
      <c r="P103" s="25"/>
      <c r="Q103" s="25"/>
    </row>
    <row r="104" spans="2:17" x14ac:dyDescent="0.3">
      <c r="B104" s="24"/>
      <c r="C104" s="24"/>
      <c r="D104" s="62"/>
      <c r="E104" s="25"/>
      <c r="F104" s="25"/>
      <c r="G104" s="25"/>
      <c r="H104" s="25"/>
      <c r="I104" s="25"/>
      <c r="J104" s="25"/>
      <c r="K104" s="25"/>
      <c r="L104" s="25"/>
      <c r="M104" s="25"/>
      <c r="N104" s="25"/>
      <c r="O104" s="25"/>
      <c r="P104" s="25"/>
      <c r="Q104" s="25"/>
    </row>
    <row r="105" spans="2:17" x14ac:dyDescent="0.3">
      <c r="B105" s="24"/>
      <c r="C105" s="24"/>
      <c r="D105" s="62"/>
      <c r="E105" s="25"/>
      <c r="F105" s="25"/>
      <c r="G105" s="25"/>
      <c r="H105" s="25"/>
      <c r="I105" s="25"/>
      <c r="J105" s="25"/>
      <c r="K105" s="25"/>
      <c r="L105" s="25"/>
      <c r="M105" s="25"/>
      <c r="N105" s="25"/>
      <c r="O105" s="25"/>
      <c r="P105" s="25"/>
      <c r="Q105" s="25"/>
    </row>
    <row r="106" spans="2:17" x14ac:dyDescent="0.3">
      <c r="B106" s="24"/>
      <c r="C106" s="24"/>
      <c r="D106" s="62"/>
      <c r="E106" s="25"/>
      <c r="F106" s="25"/>
      <c r="G106" s="25"/>
      <c r="H106" s="25"/>
      <c r="I106" s="25"/>
      <c r="J106" s="25"/>
      <c r="K106" s="25"/>
      <c r="L106" s="25"/>
      <c r="M106" s="25"/>
      <c r="N106" s="25"/>
      <c r="O106" s="25"/>
      <c r="P106" s="25"/>
      <c r="Q106" s="25"/>
    </row>
    <row r="107" spans="2:17" x14ac:dyDescent="0.3">
      <c r="B107" s="24"/>
      <c r="C107" s="24"/>
      <c r="D107" s="62"/>
      <c r="E107" s="25"/>
      <c r="F107" s="25"/>
      <c r="G107" s="25"/>
      <c r="H107" s="25"/>
      <c r="I107" s="25"/>
      <c r="J107" s="25"/>
      <c r="K107" s="25"/>
      <c r="L107" s="25"/>
      <c r="M107" s="25"/>
      <c r="N107" s="25"/>
      <c r="O107" s="25"/>
      <c r="P107" s="25"/>
      <c r="Q107" s="25"/>
    </row>
    <row r="108" spans="2:17" x14ac:dyDescent="0.3">
      <c r="B108" s="24"/>
      <c r="C108" s="24"/>
      <c r="D108" s="62"/>
      <c r="E108" s="25"/>
      <c r="F108" s="25"/>
      <c r="G108" s="25"/>
      <c r="H108" s="25"/>
      <c r="I108" s="25"/>
      <c r="J108" s="25"/>
      <c r="K108" s="25"/>
      <c r="L108" s="25"/>
      <c r="M108" s="25"/>
      <c r="N108" s="25"/>
      <c r="O108" s="25"/>
      <c r="P108" s="25"/>
      <c r="Q108" s="25"/>
    </row>
    <row r="109" spans="2:17" x14ac:dyDescent="0.3">
      <c r="B109" s="24"/>
      <c r="C109" s="24"/>
      <c r="D109" s="62"/>
      <c r="E109" s="25"/>
      <c r="F109" s="25"/>
      <c r="G109" s="25"/>
      <c r="H109" s="25"/>
      <c r="I109" s="25"/>
      <c r="J109" s="25"/>
      <c r="K109" s="25"/>
      <c r="L109" s="25"/>
      <c r="M109" s="25"/>
      <c r="N109" s="25"/>
      <c r="O109" s="25"/>
      <c r="P109" s="25"/>
      <c r="Q109" s="25"/>
    </row>
    <row r="110" spans="2:17" x14ac:dyDescent="0.3">
      <c r="B110" s="24"/>
      <c r="C110" s="24"/>
      <c r="D110" s="62"/>
      <c r="E110" s="25"/>
      <c r="F110" s="25"/>
      <c r="G110" s="25"/>
      <c r="H110" s="25"/>
      <c r="I110" s="25"/>
      <c r="J110" s="25"/>
      <c r="K110" s="25"/>
      <c r="L110" s="25"/>
      <c r="M110" s="25"/>
      <c r="N110" s="25"/>
      <c r="O110" s="25"/>
      <c r="P110" s="25"/>
      <c r="Q110" s="25"/>
    </row>
    <row r="111" spans="2:17" x14ac:dyDescent="0.3">
      <c r="B111" s="24"/>
      <c r="C111" s="24"/>
      <c r="D111" s="62"/>
      <c r="E111" s="25"/>
      <c r="F111" s="25"/>
      <c r="G111" s="25"/>
      <c r="H111" s="25"/>
      <c r="I111" s="25"/>
      <c r="J111" s="25"/>
      <c r="K111" s="25"/>
      <c r="L111" s="25"/>
      <c r="M111" s="25"/>
      <c r="N111" s="25"/>
      <c r="O111" s="25"/>
      <c r="P111" s="25"/>
      <c r="Q111" s="25"/>
    </row>
    <row r="112" spans="2:17" x14ac:dyDescent="0.3">
      <c r="B112" s="24"/>
      <c r="C112" s="24"/>
      <c r="D112" s="62"/>
      <c r="E112" s="25"/>
      <c r="F112" s="25"/>
      <c r="G112" s="25"/>
      <c r="H112" s="25"/>
      <c r="I112" s="25"/>
      <c r="J112" s="25"/>
      <c r="K112" s="25"/>
      <c r="L112" s="25"/>
      <c r="M112" s="25"/>
      <c r="N112" s="25"/>
      <c r="O112" s="25"/>
      <c r="P112" s="25"/>
      <c r="Q112" s="25"/>
    </row>
    <row r="113" spans="2:17" x14ac:dyDescent="0.3">
      <c r="B113" s="24"/>
      <c r="C113" s="24"/>
      <c r="D113" s="62"/>
      <c r="E113" s="25"/>
      <c r="F113" s="25"/>
      <c r="G113" s="25"/>
      <c r="H113" s="25"/>
      <c r="I113" s="25"/>
      <c r="J113" s="25"/>
      <c r="K113" s="25"/>
      <c r="L113" s="25"/>
      <c r="M113" s="25"/>
      <c r="N113" s="25"/>
      <c r="O113" s="25"/>
      <c r="P113" s="25"/>
      <c r="Q113" s="25"/>
    </row>
    <row r="114" spans="2:17" x14ac:dyDescent="0.3">
      <c r="B114" s="24"/>
      <c r="C114" s="24"/>
      <c r="D114" s="62"/>
      <c r="E114" s="25"/>
      <c r="F114" s="25"/>
      <c r="G114" s="25"/>
      <c r="H114" s="25"/>
      <c r="I114" s="25"/>
      <c r="J114" s="25"/>
      <c r="K114" s="25"/>
      <c r="L114" s="25"/>
      <c r="M114" s="25"/>
      <c r="N114" s="25"/>
      <c r="O114" s="25"/>
      <c r="P114" s="25"/>
      <c r="Q114" s="25"/>
    </row>
    <row r="115" spans="2:17" x14ac:dyDescent="0.3">
      <c r="B115" s="24"/>
      <c r="C115" s="24"/>
      <c r="D115" s="62"/>
      <c r="E115" s="25"/>
      <c r="F115" s="25"/>
      <c r="G115" s="25"/>
      <c r="H115" s="25"/>
      <c r="I115" s="25"/>
      <c r="J115" s="25"/>
      <c r="K115" s="25"/>
      <c r="L115" s="25"/>
      <c r="M115" s="25"/>
      <c r="N115" s="25"/>
      <c r="O115" s="25"/>
      <c r="P115" s="25"/>
      <c r="Q115" s="25"/>
    </row>
    <row r="116" spans="2:17" x14ac:dyDescent="0.3">
      <c r="B116" s="24"/>
      <c r="C116" s="24"/>
      <c r="D116" s="62"/>
      <c r="E116" s="25"/>
      <c r="F116" s="25"/>
      <c r="G116" s="25"/>
      <c r="H116" s="25"/>
      <c r="I116" s="25"/>
      <c r="J116" s="25"/>
      <c r="K116" s="25"/>
      <c r="L116" s="25"/>
      <c r="M116" s="25"/>
      <c r="N116" s="25"/>
      <c r="O116" s="25"/>
      <c r="P116" s="25"/>
      <c r="Q116" s="25"/>
    </row>
    <row r="117" spans="2:17" x14ac:dyDescent="0.3">
      <c r="B117" s="24"/>
      <c r="C117" s="24"/>
      <c r="D117" s="62"/>
      <c r="E117" s="25"/>
      <c r="F117" s="25"/>
      <c r="G117" s="25"/>
      <c r="H117" s="25"/>
      <c r="I117" s="25"/>
      <c r="J117" s="25"/>
      <c r="K117" s="25"/>
      <c r="L117" s="25"/>
      <c r="M117" s="25"/>
      <c r="N117" s="25"/>
      <c r="O117" s="25"/>
      <c r="P117" s="25"/>
      <c r="Q117" s="25"/>
    </row>
    <row r="118" spans="2:17" x14ac:dyDescent="0.3">
      <c r="B118" s="24"/>
      <c r="C118" s="24"/>
      <c r="D118" s="62"/>
      <c r="E118" s="25"/>
      <c r="F118" s="25"/>
      <c r="G118" s="25"/>
      <c r="H118" s="25"/>
      <c r="I118" s="25"/>
      <c r="J118" s="25"/>
      <c r="K118" s="25"/>
      <c r="L118" s="25"/>
      <c r="M118" s="25"/>
      <c r="N118" s="25"/>
      <c r="O118" s="25"/>
      <c r="P118" s="25"/>
      <c r="Q118" s="25"/>
    </row>
    <row r="119" spans="2:17" x14ac:dyDescent="0.3">
      <c r="B119" s="24"/>
      <c r="C119" s="24"/>
      <c r="D119" s="62"/>
      <c r="E119" s="25"/>
      <c r="F119" s="25"/>
      <c r="G119" s="25"/>
      <c r="H119" s="25"/>
      <c r="I119" s="25"/>
      <c r="J119" s="25"/>
      <c r="K119" s="25"/>
      <c r="L119" s="25"/>
      <c r="M119" s="25"/>
      <c r="N119" s="25"/>
      <c r="O119" s="25"/>
      <c r="P119" s="25"/>
      <c r="Q119" s="25"/>
    </row>
    <row r="120" spans="2:17" x14ac:dyDescent="0.3">
      <c r="B120" s="24"/>
      <c r="C120" s="24"/>
      <c r="D120" s="62"/>
      <c r="E120" s="25"/>
      <c r="F120" s="25"/>
      <c r="G120" s="25"/>
      <c r="H120" s="25"/>
      <c r="I120" s="25"/>
      <c r="J120" s="25"/>
      <c r="K120" s="25"/>
      <c r="L120" s="25"/>
      <c r="M120" s="25"/>
      <c r="N120" s="25"/>
      <c r="O120" s="25"/>
      <c r="P120" s="25"/>
      <c r="Q120" s="25"/>
    </row>
    <row r="121" spans="2:17" x14ac:dyDescent="0.3">
      <c r="B121" s="24"/>
      <c r="C121" s="24"/>
      <c r="D121" s="62"/>
      <c r="E121" s="25"/>
      <c r="F121" s="25"/>
      <c r="G121" s="25"/>
      <c r="H121" s="25"/>
      <c r="I121" s="25"/>
      <c r="J121" s="25"/>
      <c r="K121" s="25"/>
      <c r="L121" s="25"/>
      <c r="M121" s="25"/>
      <c r="N121" s="25"/>
      <c r="O121" s="25"/>
      <c r="P121" s="25"/>
      <c r="Q121" s="25"/>
    </row>
    <row r="122" spans="2:17" x14ac:dyDescent="0.3">
      <c r="B122" s="24"/>
      <c r="C122" s="24"/>
      <c r="D122" s="62"/>
      <c r="E122" s="25"/>
      <c r="F122" s="25"/>
      <c r="G122" s="25"/>
      <c r="H122" s="25"/>
      <c r="I122" s="25"/>
      <c r="J122" s="25"/>
      <c r="K122" s="25"/>
      <c r="L122" s="25"/>
      <c r="M122" s="25"/>
      <c r="N122" s="25"/>
      <c r="O122" s="25"/>
      <c r="P122" s="25"/>
      <c r="Q122" s="25"/>
    </row>
    <row r="123" spans="2:17" x14ac:dyDescent="0.3">
      <c r="B123" s="24"/>
      <c r="C123" s="24"/>
      <c r="D123" s="62"/>
      <c r="E123" s="25"/>
      <c r="F123" s="25"/>
      <c r="G123" s="25"/>
      <c r="H123" s="25"/>
      <c r="I123" s="25"/>
      <c r="J123" s="25"/>
      <c r="K123" s="25"/>
      <c r="L123" s="25"/>
      <c r="M123" s="25"/>
      <c r="N123" s="25"/>
      <c r="O123" s="25"/>
      <c r="P123" s="25"/>
      <c r="Q123" s="25"/>
    </row>
    <row r="124" spans="2:17" x14ac:dyDescent="0.3">
      <c r="B124" s="24"/>
      <c r="C124" s="24"/>
      <c r="D124" s="62"/>
      <c r="E124" s="25"/>
      <c r="F124" s="25"/>
      <c r="G124" s="25"/>
      <c r="H124" s="25"/>
      <c r="I124" s="25"/>
      <c r="J124" s="25"/>
      <c r="K124" s="25"/>
      <c r="L124" s="25"/>
      <c r="M124" s="25"/>
      <c r="N124" s="25"/>
      <c r="O124" s="25"/>
      <c r="P124" s="25"/>
      <c r="Q124" s="25"/>
    </row>
    <row r="125" spans="2:17" x14ac:dyDescent="0.3">
      <c r="B125" s="24"/>
      <c r="C125" s="24"/>
      <c r="D125" s="62"/>
      <c r="E125" s="25"/>
      <c r="F125" s="25"/>
      <c r="G125" s="25"/>
      <c r="H125" s="25"/>
      <c r="I125" s="25"/>
      <c r="J125" s="25"/>
      <c r="K125" s="25"/>
      <c r="L125" s="25"/>
      <c r="M125" s="25"/>
      <c r="N125" s="25"/>
      <c r="O125" s="25"/>
      <c r="P125" s="25"/>
      <c r="Q125" s="25"/>
    </row>
    <row r="126" spans="2:17" x14ac:dyDescent="0.3">
      <c r="B126" s="24"/>
      <c r="C126" s="24"/>
      <c r="D126" s="62"/>
      <c r="E126" s="25"/>
      <c r="F126" s="25"/>
      <c r="G126" s="25"/>
      <c r="H126" s="25"/>
      <c r="I126" s="25"/>
      <c r="J126" s="25"/>
      <c r="K126" s="25"/>
      <c r="L126" s="25"/>
      <c r="M126" s="25"/>
      <c r="N126" s="25"/>
      <c r="O126" s="25"/>
      <c r="P126" s="25"/>
      <c r="Q126" s="25"/>
    </row>
    <row r="127" spans="2:17" x14ac:dyDescent="0.3">
      <c r="B127" s="24"/>
      <c r="C127" s="24"/>
      <c r="D127" s="62"/>
      <c r="E127" s="25"/>
      <c r="F127" s="25"/>
      <c r="G127" s="25"/>
      <c r="H127" s="25"/>
      <c r="I127" s="25"/>
      <c r="J127" s="25"/>
      <c r="K127" s="25"/>
      <c r="L127" s="25"/>
      <c r="M127" s="25"/>
      <c r="N127" s="25"/>
      <c r="O127" s="25"/>
      <c r="P127" s="25"/>
      <c r="Q127" s="25"/>
    </row>
    <row r="128" spans="2:17" x14ac:dyDescent="0.3">
      <c r="B128" s="24"/>
      <c r="C128" s="24"/>
      <c r="D128" s="62"/>
      <c r="E128" s="25"/>
      <c r="F128" s="25"/>
      <c r="G128" s="25"/>
      <c r="H128" s="25"/>
      <c r="I128" s="25"/>
      <c r="J128" s="25"/>
      <c r="K128" s="25"/>
      <c r="L128" s="25"/>
      <c r="M128" s="25"/>
      <c r="N128" s="25"/>
      <c r="O128" s="25"/>
      <c r="P128" s="25"/>
      <c r="Q128" s="25"/>
    </row>
    <row r="129" spans="2:17" x14ac:dyDescent="0.3">
      <c r="B129" s="24"/>
      <c r="C129" s="24"/>
      <c r="D129" s="62"/>
      <c r="E129" s="25"/>
      <c r="F129" s="25"/>
      <c r="G129" s="25"/>
      <c r="H129" s="25"/>
      <c r="I129" s="25"/>
      <c r="J129" s="25"/>
      <c r="K129" s="25"/>
      <c r="L129" s="25"/>
      <c r="M129" s="25"/>
      <c r="N129" s="25"/>
      <c r="O129" s="25"/>
      <c r="P129" s="25"/>
      <c r="Q129" s="25"/>
    </row>
    <row r="130" spans="2:17" x14ac:dyDescent="0.3">
      <c r="B130" s="24"/>
      <c r="C130" s="24"/>
      <c r="D130" s="62"/>
      <c r="E130" s="25"/>
      <c r="F130" s="25"/>
      <c r="G130" s="25"/>
      <c r="H130" s="25"/>
      <c r="I130" s="25"/>
      <c r="J130" s="25"/>
      <c r="K130" s="25"/>
      <c r="L130" s="25"/>
      <c r="M130" s="25"/>
      <c r="N130" s="25"/>
      <c r="O130" s="25"/>
      <c r="P130" s="25"/>
      <c r="Q130" s="25"/>
    </row>
    <row r="131" spans="2:17" x14ac:dyDescent="0.3">
      <c r="B131" s="24"/>
      <c r="C131" s="24"/>
      <c r="D131" s="62"/>
      <c r="E131" s="25"/>
      <c r="F131" s="25"/>
      <c r="G131" s="25"/>
      <c r="H131" s="25"/>
      <c r="I131" s="25"/>
      <c r="J131" s="25"/>
      <c r="K131" s="25"/>
      <c r="L131" s="25"/>
      <c r="M131" s="25"/>
      <c r="N131" s="25"/>
      <c r="O131" s="25"/>
      <c r="P131" s="25"/>
      <c r="Q131" s="25"/>
    </row>
    <row r="132" spans="2:17" x14ac:dyDescent="0.3">
      <c r="B132" s="24"/>
      <c r="C132" s="24"/>
      <c r="D132" s="62"/>
      <c r="E132" s="25"/>
      <c r="F132" s="25"/>
      <c r="G132" s="25"/>
      <c r="H132" s="25"/>
      <c r="I132" s="25"/>
      <c r="J132" s="25"/>
      <c r="K132" s="25"/>
      <c r="L132" s="25"/>
      <c r="M132" s="25"/>
      <c r="N132" s="25"/>
      <c r="O132" s="25"/>
      <c r="P132" s="25"/>
      <c r="Q132" s="25"/>
    </row>
    <row r="133" spans="2:17" x14ac:dyDescent="0.3">
      <c r="B133" s="24"/>
      <c r="C133" s="24"/>
      <c r="D133" s="62"/>
      <c r="E133" s="25"/>
      <c r="F133" s="25"/>
      <c r="G133" s="25"/>
      <c r="H133" s="25"/>
      <c r="I133" s="25"/>
      <c r="J133" s="25"/>
      <c r="K133" s="25"/>
      <c r="L133" s="25"/>
      <c r="M133" s="25"/>
      <c r="N133" s="25"/>
      <c r="O133" s="25"/>
      <c r="P133" s="25"/>
      <c r="Q133" s="25"/>
    </row>
    <row r="134" spans="2:17" x14ac:dyDescent="0.3">
      <c r="B134" s="24"/>
      <c r="C134" s="24"/>
      <c r="D134" s="62"/>
      <c r="E134" s="25"/>
      <c r="F134" s="25"/>
      <c r="G134" s="25"/>
      <c r="H134" s="25"/>
      <c r="I134" s="25"/>
      <c r="J134" s="25"/>
      <c r="K134" s="25"/>
      <c r="L134" s="25"/>
      <c r="M134" s="25"/>
      <c r="N134" s="25"/>
      <c r="O134" s="25"/>
      <c r="P134" s="25"/>
      <c r="Q134" s="25"/>
    </row>
    <row r="135" spans="2:17" x14ac:dyDescent="0.3">
      <c r="B135" s="24"/>
      <c r="C135" s="24"/>
      <c r="D135" s="62"/>
      <c r="E135" s="25"/>
      <c r="F135" s="25"/>
      <c r="G135" s="25"/>
      <c r="H135" s="25"/>
      <c r="I135" s="25"/>
      <c r="J135" s="25"/>
      <c r="K135" s="25"/>
      <c r="L135" s="25"/>
      <c r="M135" s="25"/>
      <c r="N135" s="25"/>
      <c r="O135" s="25"/>
      <c r="P135" s="25"/>
      <c r="Q135" s="25"/>
    </row>
    <row r="136" spans="2:17" x14ac:dyDescent="0.3">
      <c r="B136" s="24"/>
      <c r="C136" s="24"/>
      <c r="D136" s="62"/>
      <c r="E136" s="25"/>
      <c r="F136" s="25"/>
      <c r="G136" s="25"/>
      <c r="H136" s="25"/>
      <c r="I136" s="25"/>
      <c r="J136" s="25"/>
      <c r="K136" s="25"/>
      <c r="L136" s="25"/>
      <c r="M136" s="25"/>
      <c r="N136" s="25"/>
      <c r="O136" s="25"/>
      <c r="P136" s="25"/>
      <c r="Q136" s="25"/>
    </row>
    <row r="137" spans="2:17" x14ac:dyDescent="0.3">
      <c r="B137" s="24"/>
      <c r="C137" s="24"/>
      <c r="D137" s="62"/>
      <c r="E137" s="25"/>
      <c r="F137" s="25"/>
      <c r="G137" s="25"/>
      <c r="H137" s="25"/>
      <c r="I137" s="25"/>
      <c r="J137" s="25"/>
      <c r="K137" s="25"/>
      <c r="L137" s="25"/>
      <c r="M137" s="25"/>
      <c r="N137" s="25"/>
      <c r="O137" s="25"/>
      <c r="P137" s="25"/>
      <c r="Q137" s="25"/>
    </row>
    <row r="138" spans="2:17" x14ac:dyDescent="0.3">
      <c r="B138" s="24"/>
      <c r="C138" s="24"/>
      <c r="D138" s="62"/>
      <c r="E138" s="25"/>
      <c r="F138" s="25"/>
      <c r="G138" s="25"/>
      <c r="H138" s="25"/>
      <c r="I138" s="25"/>
      <c r="J138" s="25"/>
      <c r="K138" s="25"/>
      <c r="L138" s="25"/>
      <c r="M138" s="25"/>
      <c r="N138" s="25"/>
      <c r="O138" s="25"/>
      <c r="P138" s="25"/>
      <c r="Q138" s="25"/>
    </row>
    <row r="139" spans="2:17" x14ac:dyDescent="0.3">
      <c r="B139" s="24"/>
      <c r="C139" s="24"/>
      <c r="D139" s="62"/>
      <c r="E139" s="25"/>
      <c r="F139" s="25"/>
      <c r="G139" s="25"/>
      <c r="H139" s="25"/>
      <c r="I139" s="25"/>
      <c r="J139" s="25"/>
      <c r="K139" s="25"/>
      <c r="L139" s="25"/>
      <c r="M139" s="25"/>
      <c r="N139" s="25"/>
      <c r="O139" s="25"/>
      <c r="P139" s="25"/>
      <c r="Q139" s="25"/>
    </row>
    <row r="140" spans="2:17" x14ac:dyDescent="0.3">
      <c r="B140" s="24"/>
      <c r="C140" s="24"/>
      <c r="D140" s="62"/>
      <c r="E140" s="25"/>
      <c r="F140" s="25"/>
      <c r="G140" s="25"/>
      <c r="H140" s="25"/>
      <c r="I140" s="25"/>
      <c r="J140" s="25"/>
      <c r="K140" s="25"/>
      <c r="L140" s="25"/>
      <c r="M140" s="25"/>
      <c r="N140" s="25"/>
      <c r="O140" s="25"/>
      <c r="P140" s="25"/>
      <c r="Q140" s="25"/>
    </row>
    <row r="141" spans="2:17" x14ac:dyDescent="0.3">
      <c r="B141" s="24"/>
      <c r="C141" s="24"/>
      <c r="D141" s="62"/>
      <c r="E141" s="25"/>
      <c r="F141" s="25"/>
      <c r="G141" s="25"/>
      <c r="H141" s="25"/>
      <c r="I141" s="25"/>
      <c r="J141" s="25"/>
      <c r="K141" s="25"/>
      <c r="L141" s="25"/>
      <c r="M141" s="25"/>
      <c r="N141" s="25"/>
      <c r="O141" s="25"/>
      <c r="P141" s="25"/>
      <c r="Q141" s="25"/>
    </row>
    <row r="142" spans="2:17" x14ac:dyDescent="0.3">
      <c r="B142" s="24"/>
      <c r="C142" s="24"/>
      <c r="D142" s="62"/>
      <c r="E142" s="25"/>
      <c r="F142" s="25"/>
      <c r="G142" s="25"/>
      <c r="H142" s="25"/>
      <c r="I142" s="25"/>
      <c r="J142" s="25"/>
      <c r="K142" s="25"/>
      <c r="L142" s="25"/>
      <c r="M142" s="25"/>
      <c r="N142" s="25"/>
      <c r="O142" s="25"/>
      <c r="P142" s="25"/>
      <c r="Q142" s="25"/>
    </row>
    <row r="143" spans="2:17" x14ac:dyDescent="0.3">
      <c r="B143" s="24"/>
      <c r="C143" s="24"/>
      <c r="D143" s="62"/>
      <c r="E143" s="25"/>
      <c r="F143" s="25"/>
      <c r="G143" s="25"/>
      <c r="H143" s="25"/>
      <c r="I143" s="25"/>
      <c r="J143" s="25"/>
      <c r="K143" s="25"/>
      <c r="L143" s="25"/>
      <c r="M143" s="25"/>
      <c r="N143" s="25"/>
      <c r="O143" s="25"/>
      <c r="P143" s="25"/>
      <c r="Q143" s="25"/>
    </row>
    <row r="144" spans="2:17" x14ac:dyDescent="0.3">
      <c r="B144" s="24"/>
      <c r="C144" s="24"/>
      <c r="D144" s="62"/>
      <c r="E144" s="25"/>
      <c r="F144" s="25"/>
      <c r="G144" s="25"/>
      <c r="H144" s="25"/>
      <c r="I144" s="25"/>
      <c r="J144" s="25"/>
      <c r="K144" s="25"/>
      <c r="L144" s="25"/>
      <c r="M144" s="25"/>
      <c r="N144" s="25"/>
      <c r="O144" s="25"/>
      <c r="P144" s="25"/>
      <c r="Q144" s="25"/>
    </row>
    <row r="145" spans="2:17" x14ac:dyDescent="0.3">
      <c r="B145" s="24"/>
      <c r="C145" s="24"/>
      <c r="D145" s="62"/>
      <c r="E145" s="25"/>
      <c r="F145" s="25"/>
      <c r="G145" s="25"/>
      <c r="H145" s="25"/>
      <c r="I145" s="25"/>
      <c r="J145" s="25"/>
      <c r="K145" s="25"/>
      <c r="L145" s="25"/>
      <c r="M145" s="25"/>
      <c r="N145" s="25"/>
      <c r="O145" s="25"/>
      <c r="P145" s="25"/>
      <c r="Q145" s="25"/>
    </row>
    <row r="146" spans="2:17" x14ac:dyDescent="0.3">
      <c r="B146" s="24"/>
      <c r="C146" s="24"/>
      <c r="D146" s="62"/>
      <c r="E146" s="25"/>
      <c r="F146" s="25"/>
      <c r="G146" s="25"/>
      <c r="H146" s="25"/>
      <c r="I146" s="25"/>
      <c r="J146" s="25"/>
      <c r="K146" s="25"/>
      <c r="L146" s="25"/>
      <c r="M146" s="25"/>
      <c r="N146" s="25"/>
      <c r="O146" s="25"/>
      <c r="P146" s="25"/>
      <c r="Q146" s="25"/>
    </row>
    <row r="147" spans="2:17" x14ac:dyDescent="0.3">
      <c r="B147" s="24"/>
      <c r="C147" s="24"/>
      <c r="D147" s="62"/>
      <c r="E147" s="25"/>
      <c r="F147" s="25"/>
      <c r="G147" s="25"/>
      <c r="H147" s="25"/>
      <c r="I147" s="25"/>
      <c r="J147" s="25"/>
      <c r="K147" s="25"/>
      <c r="L147" s="25"/>
      <c r="M147" s="25"/>
      <c r="N147" s="25"/>
      <c r="O147" s="25"/>
      <c r="P147" s="25"/>
      <c r="Q147" s="25"/>
    </row>
    <row r="148" spans="2:17" x14ac:dyDescent="0.3">
      <c r="B148" s="24"/>
      <c r="C148" s="24"/>
      <c r="D148" s="62"/>
      <c r="E148" s="25"/>
      <c r="F148" s="25"/>
      <c r="G148" s="25"/>
      <c r="H148" s="25"/>
      <c r="I148" s="25"/>
      <c r="J148" s="25"/>
      <c r="K148" s="25"/>
      <c r="L148" s="25"/>
      <c r="M148" s="25"/>
      <c r="N148" s="25"/>
      <c r="O148" s="25"/>
      <c r="P148" s="25"/>
      <c r="Q148" s="25"/>
    </row>
    <row r="149" spans="2:17" x14ac:dyDescent="0.3">
      <c r="B149" s="24"/>
      <c r="C149" s="24"/>
      <c r="D149" s="62"/>
      <c r="E149" s="25"/>
      <c r="F149" s="25"/>
      <c r="G149" s="25"/>
      <c r="H149" s="25"/>
      <c r="I149" s="25"/>
      <c r="J149" s="25"/>
      <c r="K149" s="25"/>
      <c r="L149" s="25"/>
      <c r="M149" s="25"/>
      <c r="N149" s="25"/>
      <c r="O149" s="25"/>
      <c r="P149" s="25"/>
      <c r="Q149" s="25"/>
    </row>
    <row r="150" spans="2:17" x14ac:dyDescent="0.3">
      <c r="B150" s="24"/>
      <c r="C150" s="24"/>
      <c r="D150" s="62"/>
      <c r="E150" s="25"/>
      <c r="F150" s="25"/>
      <c r="G150" s="25"/>
      <c r="H150" s="25"/>
      <c r="I150" s="25"/>
      <c r="J150" s="25"/>
      <c r="K150" s="25"/>
      <c r="L150" s="25"/>
      <c r="M150" s="25"/>
      <c r="N150" s="25"/>
      <c r="O150" s="25"/>
      <c r="P150" s="25"/>
      <c r="Q150" s="25"/>
    </row>
    <row r="151" spans="2:17" x14ac:dyDescent="0.3">
      <c r="B151" s="24"/>
      <c r="C151" s="24"/>
      <c r="D151" s="62"/>
      <c r="E151" s="25"/>
      <c r="F151" s="25"/>
      <c r="G151" s="25"/>
      <c r="H151" s="25"/>
      <c r="I151" s="25"/>
      <c r="J151" s="25"/>
      <c r="K151" s="25"/>
      <c r="L151" s="25"/>
      <c r="M151" s="25"/>
      <c r="N151" s="25"/>
      <c r="O151" s="25"/>
      <c r="P151" s="25"/>
      <c r="Q151" s="25"/>
    </row>
    <row r="152" spans="2:17" x14ac:dyDescent="0.3">
      <c r="B152" s="24"/>
      <c r="C152" s="24"/>
      <c r="D152" s="62"/>
      <c r="E152" s="25"/>
      <c r="F152" s="25"/>
      <c r="G152" s="25"/>
      <c r="H152" s="25"/>
      <c r="I152" s="25"/>
      <c r="J152" s="25"/>
      <c r="K152" s="25"/>
      <c r="L152" s="25"/>
      <c r="M152" s="25"/>
      <c r="N152" s="25"/>
      <c r="O152" s="25"/>
      <c r="P152" s="25"/>
      <c r="Q152" s="25"/>
    </row>
    <row r="153" spans="2:17" x14ac:dyDescent="0.3">
      <c r="B153" s="24"/>
      <c r="C153" s="24"/>
      <c r="D153" s="62"/>
      <c r="E153" s="25"/>
      <c r="F153" s="25"/>
      <c r="G153" s="25"/>
      <c r="H153" s="25"/>
      <c r="I153" s="25"/>
      <c r="J153" s="25"/>
      <c r="K153" s="25"/>
      <c r="L153" s="25"/>
      <c r="M153" s="25"/>
      <c r="N153" s="25"/>
      <c r="O153" s="25"/>
      <c r="P153" s="25"/>
      <c r="Q153" s="25"/>
    </row>
    <row r="154" spans="2:17" x14ac:dyDescent="0.3">
      <c r="B154" s="24"/>
      <c r="C154" s="24"/>
      <c r="D154" s="62"/>
      <c r="E154" s="25"/>
      <c r="F154" s="25"/>
      <c r="G154" s="25"/>
      <c r="H154" s="25"/>
      <c r="I154" s="25"/>
      <c r="J154" s="25"/>
      <c r="K154" s="25"/>
      <c r="L154" s="25"/>
      <c r="M154" s="25"/>
      <c r="N154" s="25"/>
      <c r="O154" s="25"/>
      <c r="P154" s="25"/>
      <c r="Q154" s="25"/>
    </row>
    <row r="155" spans="2:17" x14ac:dyDescent="0.3">
      <c r="B155" s="24"/>
      <c r="C155" s="24"/>
      <c r="D155" s="62"/>
      <c r="E155" s="25"/>
      <c r="F155" s="25"/>
      <c r="G155" s="25"/>
      <c r="H155" s="25"/>
      <c r="I155" s="25"/>
      <c r="J155" s="25"/>
      <c r="K155" s="25"/>
      <c r="L155" s="25"/>
      <c r="M155" s="25"/>
      <c r="N155" s="25"/>
      <c r="O155" s="25"/>
      <c r="P155" s="25"/>
      <c r="Q155" s="25"/>
    </row>
    <row r="156" spans="2:17" x14ac:dyDescent="0.3">
      <c r="B156" s="24"/>
      <c r="C156" s="24"/>
      <c r="D156" s="62"/>
      <c r="E156" s="25"/>
      <c r="F156" s="25"/>
      <c r="G156" s="25"/>
      <c r="H156" s="25"/>
      <c r="I156" s="25"/>
      <c r="J156" s="25"/>
      <c r="K156" s="25"/>
      <c r="L156" s="25"/>
      <c r="M156" s="25"/>
      <c r="N156" s="25"/>
      <c r="O156" s="25"/>
      <c r="P156" s="25"/>
      <c r="Q156" s="25"/>
    </row>
    <row r="157" spans="2:17" x14ac:dyDescent="0.3">
      <c r="B157" s="24"/>
      <c r="C157" s="24"/>
      <c r="D157" s="62"/>
      <c r="E157" s="25"/>
      <c r="F157" s="25"/>
      <c r="G157" s="25"/>
      <c r="H157" s="25"/>
      <c r="I157" s="25"/>
      <c r="J157" s="25"/>
      <c r="K157" s="25"/>
      <c r="L157" s="25"/>
      <c r="M157" s="25"/>
      <c r="N157" s="25"/>
      <c r="O157" s="25"/>
      <c r="P157" s="25"/>
      <c r="Q157" s="25"/>
    </row>
    <row r="158" spans="2:17" x14ac:dyDescent="0.3">
      <c r="B158" s="24"/>
      <c r="C158" s="24"/>
      <c r="D158" s="62"/>
      <c r="E158" s="25"/>
      <c r="F158" s="25"/>
      <c r="G158" s="25"/>
      <c r="H158" s="25"/>
      <c r="I158" s="25"/>
      <c r="J158" s="25"/>
      <c r="K158" s="25"/>
      <c r="L158" s="25"/>
      <c r="M158" s="25"/>
      <c r="N158" s="25"/>
      <c r="O158" s="25"/>
      <c r="P158" s="25"/>
      <c r="Q158" s="25"/>
    </row>
    <row r="159" spans="2:17" x14ac:dyDescent="0.3">
      <c r="B159" s="24"/>
      <c r="C159" s="24"/>
      <c r="D159" s="62"/>
      <c r="E159" s="25"/>
      <c r="F159" s="25"/>
      <c r="G159" s="25"/>
      <c r="H159" s="25"/>
      <c r="I159" s="25"/>
      <c r="J159" s="25"/>
      <c r="K159" s="25"/>
      <c r="L159" s="25"/>
      <c r="M159" s="25"/>
      <c r="N159" s="25"/>
      <c r="O159" s="25"/>
      <c r="P159" s="25"/>
      <c r="Q159" s="25"/>
    </row>
    <row r="160" spans="2:17" x14ac:dyDescent="0.3">
      <c r="B160" s="24"/>
      <c r="C160" s="24"/>
      <c r="D160" s="62"/>
      <c r="E160" s="25"/>
      <c r="F160" s="25"/>
      <c r="G160" s="25"/>
      <c r="H160" s="25"/>
      <c r="I160" s="25"/>
      <c r="J160" s="25"/>
      <c r="K160" s="25"/>
      <c r="L160" s="25"/>
      <c r="M160" s="25"/>
      <c r="N160" s="25"/>
      <c r="O160" s="25"/>
      <c r="P160" s="25"/>
      <c r="Q160" s="25"/>
    </row>
    <row r="161" spans="2:17" x14ac:dyDescent="0.3">
      <c r="B161" s="24"/>
      <c r="C161" s="24"/>
      <c r="D161" s="62"/>
      <c r="E161" s="25"/>
      <c r="F161" s="25"/>
      <c r="G161" s="25"/>
      <c r="H161" s="25"/>
      <c r="I161" s="25"/>
      <c r="J161" s="25"/>
      <c r="K161" s="25"/>
      <c r="L161" s="25"/>
      <c r="M161" s="25"/>
      <c r="N161" s="25"/>
      <c r="O161" s="25"/>
      <c r="P161" s="25"/>
      <c r="Q161" s="25"/>
    </row>
    <row r="162" spans="2:17" x14ac:dyDescent="0.3">
      <c r="B162" s="24"/>
      <c r="C162" s="24"/>
      <c r="D162" s="62"/>
      <c r="E162" s="25"/>
      <c r="F162" s="25"/>
      <c r="G162" s="25"/>
      <c r="H162" s="25"/>
      <c r="I162" s="25"/>
      <c r="J162" s="25"/>
      <c r="K162" s="25"/>
      <c r="L162" s="25"/>
      <c r="M162" s="25"/>
      <c r="N162" s="25"/>
      <c r="O162" s="25"/>
      <c r="P162" s="25"/>
      <c r="Q162" s="25"/>
    </row>
    <row r="163" spans="2:17" x14ac:dyDescent="0.3">
      <c r="B163" s="24"/>
      <c r="C163" s="24"/>
      <c r="D163" s="62"/>
      <c r="E163" s="25"/>
      <c r="F163" s="25"/>
      <c r="G163" s="25"/>
      <c r="H163" s="25"/>
      <c r="I163" s="25"/>
      <c r="J163" s="25"/>
      <c r="K163" s="25"/>
      <c r="L163" s="25"/>
      <c r="M163" s="25"/>
      <c r="N163" s="25"/>
      <c r="O163" s="25"/>
      <c r="P163" s="25"/>
      <c r="Q163" s="25"/>
    </row>
    <row r="164" spans="2:17" x14ac:dyDescent="0.3">
      <c r="B164" s="24"/>
      <c r="C164" s="24"/>
      <c r="D164" s="62"/>
      <c r="E164" s="25"/>
      <c r="F164" s="25"/>
      <c r="G164" s="25"/>
      <c r="H164" s="25"/>
      <c r="I164" s="25"/>
      <c r="J164" s="25"/>
      <c r="K164" s="25"/>
      <c r="L164" s="25"/>
      <c r="M164" s="25"/>
      <c r="N164" s="25"/>
      <c r="O164" s="25"/>
      <c r="P164" s="25"/>
      <c r="Q164" s="25"/>
    </row>
    <row r="165" spans="2:17" x14ac:dyDescent="0.3">
      <c r="B165" s="24"/>
      <c r="C165" s="24"/>
      <c r="D165" s="62"/>
      <c r="E165" s="25"/>
      <c r="F165" s="25"/>
      <c r="G165" s="25"/>
      <c r="H165" s="25"/>
      <c r="I165" s="25"/>
      <c r="J165" s="25"/>
      <c r="K165" s="25"/>
      <c r="L165" s="25"/>
      <c r="M165" s="25"/>
      <c r="N165" s="25"/>
      <c r="O165" s="25"/>
      <c r="P165" s="25"/>
      <c r="Q165" s="25"/>
    </row>
    <row r="166" spans="2:17" x14ac:dyDescent="0.3">
      <c r="B166" s="24"/>
      <c r="C166" s="24"/>
      <c r="D166" s="62"/>
      <c r="E166" s="25"/>
      <c r="F166" s="25"/>
      <c r="G166" s="25"/>
      <c r="H166" s="25"/>
      <c r="I166" s="25"/>
      <c r="J166" s="25"/>
      <c r="K166" s="25"/>
      <c r="L166" s="25"/>
      <c r="M166" s="25"/>
      <c r="N166" s="25"/>
      <c r="O166" s="25"/>
      <c r="P166" s="25"/>
      <c r="Q166" s="25"/>
    </row>
    <row r="167" spans="2:17" x14ac:dyDescent="0.3">
      <c r="B167" s="24"/>
      <c r="C167" s="24"/>
      <c r="D167" s="62"/>
      <c r="E167" s="25"/>
      <c r="F167" s="25"/>
      <c r="G167" s="25"/>
      <c r="H167" s="25"/>
      <c r="I167" s="25"/>
      <c r="J167" s="25"/>
      <c r="K167" s="25"/>
      <c r="L167" s="25"/>
      <c r="M167" s="25"/>
      <c r="N167" s="25"/>
      <c r="O167" s="25"/>
      <c r="P167" s="25"/>
      <c r="Q167" s="25"/>
    </row>
    <row r="168" spans="2:17" x14ac:dyDescent="0.3">
      <c r="B168" s="24"/>
      <c r="C168" s="24"/>
      <c r="D168" s="62"/>
      <c r="E168" s="25"/>
      <c r="F168" s="25"/>
      <c r="G168" s="25"/>
      <c r="H168" s="25"/>
      <c r="I168" s="25"/>
      <c r="J168" s="25"/>
      <c r="K168" s="25"/>
      <c r="L168" s="25"/>
      <c r="M168" s="25"/>
      <c r="N168" s="25"/>
      <c r="O168" s="25"/>
      <c r="P168" s="25"/>
      <c r="Q168" s="25"/>
    </row>
    <row r="169" spans="2:17" x14ac:dyDescent="0.3">
      <c r="B169" s="24"/>
      <c r="C169" s="24"/>
      <c r="D169" s="62"/>
      <c r="E169" s="25"/>
      <c r="F169" s="25"/>
      <c r="G169" s="25"/>
      <c r="H169" s="25"/>
      <c r="I169" s="25"/>
      <c r="J169" s="25"/>
      <c r="K169" s="25"/>
      <c r="L169" s="25"/>
      <c r="M169" s="25"/>
      <c r="N169" s="25"/>
      <c r="O169" s="25"/>
      <c r="P169" s="25"/>
      <c r="Q169" s="25"/>
    </row>
    <row r="170" spans="2:17" x14ac:dyDescent="0.3">
      <c r="B170" s="24"/>
      <c r="C170" s="24"/>
      <c r="D170" s="62"/>
      <c r="E170" s="25"/>
      <c r="F170" s="25"/>
      <c r="G170" s="25"/>
      <c r="H170" s="25"/>
      <c r="I170" s="25"/>
      <c r="J170" s="25"/>
      <c r="K170" s="25"/>
      <c r="L170" s="25"/>
      <c r="M170" s="25"/>
      <c r="N170" s="25"/>
      <c r="O170" s="25"/>
      <c r="P170" s="25"/>
      <c r="Q170" s="25"/>
    </row>
    <row r="171" spans="2:17" x14ac:dyDescent="0.3">
      <c r="B171" s="24"/>
      <c r="C171" s="24"/>
      <c r="D171" s="62"/>
      <c r="E171" s="25"/>
      <c r="F171" s="25"/>
      <c r="G171" s="25"/>
      <c r="H171" s="25"/>
      <c r="I171" s="25"/>
      <c r="J171" s="25"/>
      <c r="K171" s="25"/>
      <c r="L171" s="25"/>
      <c r="M171" s="25"/>
      <c r="N171" s="25"/>
      <c r="O171" s="25"/>
      <c r="P171" s="25"/>
      <c r="Q171" s="25"/>
    </row>
    <row r="172" spans="2:17" x14ac:dyDescent="0.3">
      <c r="B172" s="24"/>
      <c r="C172" s="24"/>
      <c r="D172" s="62"/>
      <c r="E172" s="25"/>
      <c r="F172" s="25"/>
      <c r="G172" s="25"/>
      <c r="H172" s="25"/>
      <c r="I172" s="25"/>
      <c r="J172" s="25"/>
      <c r="K172" s="25"/>
      <c r="L172" s="25"/>
      <c r="M172" s="25"/>
      <c r="N172" s="25"/>
      <c r="O172" s="25"/>
      <c r="P172" s="25"/>
      <c r="Q172" s="25"/>
    </row>
    <row r="173" spans="2:17" x14ac:dyDescent="0.3">
      <c r="B173" s="24"/>
      <c r="C173" s="24"/>
      <c r="D173" s="62"/>
      <c r="E173" s="25"/>
      <c r="F173" s="25"/>
      <c r="G173" s="25"/>
      <c r="H173" s="25"/>
      <c r="I173" s="25"/>
      <c r="J173" s="25"/>
      <c r="K173" s="25"/>
      <c r="L173" s="25"/>
      <c r="M173" s="25"/>
      <c r="N173" s="25"/>
      <c r="O173" s="25"/>
      <c r="P173" s="25"/>
      <c r="Q173" s="25"/>
    </row>
    <row r="174" spans="2:17" x14ac:dyDescent="0.3">
      <c r="B174" s="24"/>
      <c r="C174" s="24"/>
      <c r="D174" s="62"/>
      <c r="E174" s="25"/>
      <c r="F174" s="25"/>
      <c r="G174" s="25"/>
      <c r="H174" s="25"/>
      <c r="I174" s="25"/>
      <c r="J174" s="25"/>
      <c r="K174" s="25"/>
      <c r="L174" s="25"/>
      <c r="M174" s="25"/>
      <c r="N174" s="25"/>
      <c r="O174" s="25"/>
      <c r="P174" s="25"/>
      <c r="Q174" s="25"/>
    </row>
  </sheetData>
  <mergeCells count="2">
    <mergeCell ref="A3:D3"/>
    <mergeCell ref="A4: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indexed="55"/>
    <outlinePr applyStyles="1" summaryBelow="0"/>
    <pageSetUpPr fitToPage="1"/>
  </sheetPr>
  <dimension ref="A2:S247"/>
  <sheetViews>
    <sheetView workbookViewId="0">
      <selection activeCell="A11" sqref="A11"/>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A4" s="139" t="str">
        <f>$A$2 &amp; " (" &amp;G4 &amp; ")"</f>
        <v>Державний та гарантований державою борг України за останні 5 років (млрд. грн)</v>
      </c>
      <c r="G4" s="26" t="str">
        <f>VALUAH</f>
        <v>млрд. грн</v>
      </c>
    </row>
    <row r="5" spans="1:19" s="13" customFormat="1" x14ac:dyDescent="0.25">
      <c r="A5" s="11"/>
      <c r="B5" s="12">
        <v>43830</v>
      </c>
      <c r="C5" s="12">
        <v>44196</v>
      </c>
      <c r="D5" s="12">
        <v>44561</v>
      </c>
      <c r="E5" s="12">
        <v>44926</v>
      </c>
      <c r="F5" s="12">
        <v>45291</v>
      </c>
      <c r="G5" s="12">
        <v>45657</v>
      </c>
    </row>
    <row r="6" spans="1:19" s="14" customFormat="1" x14ac:dyDescent="0.25">
      <c r="A6" s="149" t="str">
        <f>DEBT_TOTAL</f>
        <v>Загальна сума державного та гарантованого державою боргу</v>
      </c>
      <c r="B6" s="111">
        <f t="shared" ref="B6:G6" si="0">SUM(B$7+ B$8)</f>
        <v>1998.2958999647599</v>
      </c>
      <c r="C6" s="111">
        <f t="shared" si="0"/>
        <v>2551.8817252042099</v>
      </c>
      <c r="D6" s="111">
        <f t="shared" si="0"/>
        <v>2672.0600203157701</v>
      </c>
      <c r="E6" s="111">
        <f t="shared" si="0"/>
        <v>4075.5678381492698</v>
      </c>
      <c r="F6" s="111">
        <f t="shared" si="0"/>
        <v>5519.6354586101497</v>
      </c>
      <c r="G6" s="111">
        <f t="shared" si="0"/>
        <v>6980.93401478539</v>
      </c>
    </row>
    <row r="7" spans="1:19" s="37" customFormat="1" outlineLevel="1" x14ac:dyDescent="0.25">
      <c r="A7" s="159" t="s">
        <v>57</v>
      </c>
      <c r="B7" s="165">
        <v>838.84791942062998</v>
      </c>
      <c r="C7" s="165">
        <v>1032.9472373433</v>
      </c>
      <c r="D7" s="165">
        <v>1111.59786125906</v>
      </c>
      <c r="E7" s="165">
        <v>1461.888183668</v>
      </c>
      <c r="F7" s="165">
        <v>1656.49630379928</v>
      </c>
      <c r="G7" s="165">
        <v>1932.48958136344</v>
      </c>
    </row>
    <row r="8" spans="1:19" s="37" customFormat="1" outlineLevel="1" x14ac:dyDescent="0.25">
      <c r="A8" s="159" t="s">
        <v>95</v>
      </c>
      <c r="B8" s="165">
        <v>1159.4479805441299</v>
      </c>
      <c r="C8" s="165">
        <v>1518.9344878609099</v>
      </c>
      <c r="D8" s="165">
        <v>1560.4621590567101</v>
      </c>
      <c r="E8" s="165">
        <v>2613.6796544812701</v>
      </c>
      <c r="F8" s="165">
        <v>3863.13915481087</v>
      </c>
      <c r="G8" s="165">
        <v>5048.4444334219497</v>
      </c>
    </row>
    <row r="9" spans="1:19" x14ac:dyDescent="0.3">
      <c r="B9" s="25"/>
      <c r="C9" s="25"/>
      <c r="D9" s="25"/>
      <c r="E9" s="25"/>
      <c r="F9" s="25"/>
      <c r="G9" s="25"/>
      <c r="H9" s="25"/>
      <c r="I9" s="25"/>
      <c r="J9" s="25"/>
      <c r="K9" s="25"/>
      <c r="L9" s="25"/>
      <c r="M9" s="25"/>
      <c r="N9" s="25"/>
      <c r="O9" s="25"/>
      <c r="P9" s="25"/>
      <c r="Q9" s="25"/>
    </row>
    <row r="10" spans="1:19" x14ac:dyDescent="0.3">
      <c r="A10" s="139" t="str">
        <f>$A$2 &amp; " (" &amp;G10 &amp; ")"</f>
        <v>Державний та гарантований державою борг України за останні 5 років (млрд. дол. США)</v>
      </c>
      <c r="B10" s="25"/>
      <c r="C10" s="25"/>
      <c r="D10" s="25"/>
      <c r="E10" s="25"/>
      <c r="F10" s="25"/>
      <c r="G10" s="26" t="str">
        <f>VALUSD</f>
        <v>млрд. дол. США</v>
      </c>
      <c r="H10" s="25"/>
      <c r="I10" s="25"/>
      <c r="J10" s="25"/>
      <c r="K10" s="25"/>
      <c r="L10" s="25"/>
      <c r="M10" s="25"/>
      <c r="N10" s="25"/>
      <c r="O10" s="25"/>
      <c r="P10" s="25"/>
      <c r="Q10" s="25"/>
    </row>
    <row r="11" spans="1:19" s="33" customFormat="1" x14ac:dyDescent="0.3">
      <c r="A11" s="11"/>
      <c r="B11" s="12">
        <v>43830</v>
      </c>
      <c r="C11" s="12">
        <v>44196</v>
      </c>
      <c r="D11" s="12">
        <v>44561</v>
      </c>
      <c r="E11" s="12">
        <v>44926</v>
      </c>
      <c r="F11" s="12">
        <v>45291</v>
      </c>
      <c r="G11" s="12">
        <v>45657</v>
      </c>
      <c r="H11" s="13"/>
      <c r="I11" s="13"/>
      <c r="J11" s="13"/>
      <c r="K11" s="13"/>
      <c r="L11" s="13"/>
      <c r="M11" s="13"/>
      <c r="N11" s="13"/>
      <c r="O11" s="13"/>
      <c r="P11" s="13"/>
      <c r="Q11" s="13"/>
      <c r="R11" s="13"/>
      <c r="S11" s="13"/>
    </row>
    <row r="12" spans="1:19" s="35" customFormat="1" x14ac:dyDescent="0.3">
      <c r="A12" s="149" t="str">
        <f>DEBT_TOTAL</f>
        <v>Загальна сума державного та гарантованого державою боргу</v>
      </c>
      <c r="B12" s="111">
        <f t="shared" ref="B12:G12" si="1">SUM(B$13+ B$14)</f>
        <v>84.365406859860002</v>
      </c>
      <c r="C12" s="111">
        <f t="shared" si="1"/>
        <v>90.253504035259994</v>
      </c>
      <c r="D12" s="111">
        <f t="shared" si="1"/>
        <v>97.955877598960001</v>
      </c>
      <c r="E12" s="111">
        <f t="shared" si="1"/>
        <v>111.44992803011999</v>
      </c>
      <c r="F12" s="111">
        <f t="shared" si="1"/>
        <v>145.32087120896</v>
      </c>
      <c r="G12" s="111">
        <f t="shared" si="1"/>
        <v>166.05851744312</v>
      </c>
      <c r="H12" s="34"/>
      <c r="I12" s="34"/>
      <c r="J12" s="34"/>
      <c r="K12" s="34"/>
      <c r="L12" s="34"/>
      <c r="M12" s="34"/>
      <c r="N12" s="34"/>
      <c r="O12" s="34"/>
      <c r="P12" s="34"/>
      <c r="Q12" s="34"/>
    </row>
    <row r="13" spans="1:19" s="39" customFormat="1" outlineLevel="1" x14ac:dyDescent="0.3">
      <c r="A13" s="162" t="s">
        <v>57</v>
      </c>
      <c r="B13" s="160">
        <v>35.415048400320003</v>
      </c>
      <c r="C13" s="160">
        <v>36.532691438050001</v>
      </c>
      <c r="D13" s="160">
        <v>40.750410997160003</v>
      </c>
      <c r="E13" s="160">
        <v>39.976596962419997</v>
      </c>
      <c r="F13" s="160">
        <v>43.612207332799997</v>
      </c>
      <c r="G13" s="160">
        <v>45.968971226080001</v>
      </c>
      <c r="H13" s="38"/>
      <c r="I13" s="38"/>
      <c r="J13" s="38"/>
      <c r="K13" s="38"/>
      <c r="L13" s="38"/>
      <c r="M13" s="38"/>
      <c r="N13" s="38"/>
      <c r="O13" s="38"/>
      <c r="P13" s="38"/>
      <c r="Q13" s="38"/>
    </row>
    <row r="14" spans="1:19" s="39" customFormat="1" outlineLevel="1" x14ac:dyDescent="0.3">
      <c r="A14" s="162" t="s">
        <v>95</v>
      </c>
      <c r="B14" s="160">
        <v>48.950358459539999</v>
      </c>
      <c r="C14" s="160">
        <v>53.720812597209999</v>
      </c>
      <c r="D14" s="160">
        <v>57.205466601799998</v>
      </c>
      <c r="E14" s="160">
        <v>71.473331067700002</v>
      </c>
      <c r="F14" s="160">
        <v>101.70866387616</v>
      </c>
      <c r="G14" s="160">
        <v>120.08954621704</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43830</v>
      </c>
      <c r="C17" s="12">
        <v>44196</v>
      </c>
      <c r="D17" s="12">
        <v>44561</v>
      </c>
      <c r="E17" s="12">
        <v>44926</v>
      </c>
      <c r="F17" s="12">
        <v>45291</v>
      </c>
      <c r="G17" s="12">
        <v>45657</v>
      </c>
      <c r="H17" s="13"/>
      <c r="I17" s="13"/>
      <c r="J17" s="13"/>
      <c r="K17" s="13"/>
      <c r="L17" s="13"/>
      <c r="M17" s="13"/>
      <c r="N17" s="13"/>
      <c r="O17" s="13"/>
      <c r="P17" s="13"/>
      <c r="Q17" s="13"/>
      <c r="R17" s="13"/>
      <c r="S17" s="13"/>
    </row>
    <row r="18" spans="1:19" s="35" customFormat="1" x14ac:dyDescent="0.3">
      <c r="A18" s="149" t="str">
        <f>DEBT_TOTAL</f>
        <v>Загальна сума державного та гарантованого державою боргу</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62" t="s">
        <v>57</v>
      </c>
      <c r="B19" s="163">
        <v>0.41978199999999999</v>
      </c>
      <c r="C19" s="163">
        <v>0.404779</v>
      </c>
      <c r="D19" s="163">
        <v>0.41600799999999999</v>
      </c>
      <c r="E19" s="163">
        <v>0.35869600000000001</v>
      </c>
      <c r="F19" s="163">
        <v>0.30010999999999999</v>
      </c>
      <c r="G19" s="163">
        <v>0.27682400000000001</v>
      </c>
      <c r="H19" s="38"/>
      <c r="I19" s="38"/>
      <c r="J19" s="38"/>
      <c r="K19" s="38"/>
      <c r="L19" s="38"/>
      <c r="M19" s="38"/>
      <c r="N19" s="38"/>
      <c r="O19" s="38"/>
      <c r="P19" s="38"/>
      <c r="Q19" s="38"/>
    </row>
    <row r="20" spans="1:19" s="39" customFormat="1" outlineLevel="1" x14ac:dyDescent="0.3">
      <c r="A20" s="162" t="s">
        <v>95</v>
      </c>
      <c r="B20" s="163">
        <v>0.58021800000000001</v>
      </c>
      <c r="C20" s="163">
        <v>0.595221</v>
      </c>
      <c r="D20" s="163">
        <v>0.58399199999999996</v>
      </c>
      <c r="E20" s="163">
        <v>0.64130399999999999</v>
      </c>
      <c r="F20" s="163">
        <v>0.69989000000000001</v>
      </c>
      <c r="G20" s="163">
        <v>0.72317600000000004</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4" spans="1:19" s="26" customFormat="1" x14ac:dyDescent="0.3">
      <c r="G4" s="147" t="str">
        <f>VALUAH</f>
        <v>млрд. грн</v>
      </c>
    </row>
    <row r="5" spans="1:19" s="13" customFormat="1" x14ac:dyDescent="0.25">
      <c r="A5" s="59"/>
      <c r="B5" s="12">
        <f>YT_ALL!B5</f>
        <v>43830</v>
      </c>
      <c r="C5" s="12">
        <f>YT_ALL!C5</f>
        <v>44196</v>
      </c>
      <c r="D5" s="12">
        <f>YT_ALL!D5</f>
        <v>44561</v>
      </c>
      <c r="E5" s="12">
        <f>YT_ALL!E5</f>
        <v>44926</v>
      </c>
      <c r="F5" s="12">
        <f>YT_ALL!F5</f>
        <v>45291</v>
      </c>
      <c r="G5" s="12">
        <f>YT_ALL!G5</f>
        <v>45657</v>
      </c>
    </row>
    <row r="6" spans="1:19" s="14" customFormat="1" x14ac:dyDescent="0.25">
      <c r="A6" s="149" t="str">
        <f>DEBT_TOTAL</f>
        <v>Загальна сума державного та гарантованого державою боргу</v>
      </c>
      <c r="B6" s="111">
        <f t="shared" ref="B6:G6" si="0">SUM(B$7+ B$8)</f>
        <v>1998.2958999647599</v>
      </c>
      <c r="C6" s="111">
        <f t="shared" si="0"/>
        <v>2551.8817252042099</v>
      </c>
      <c r="D6" s="111">
        <f t="shared" si="0"/>
        <v>2672.0600203157701</v>
      </c>
      <c r="E6" s="111">
        <f t="shared" si="0"/>
        <v>4075.5678381492698</v>
      </c>
      <c r="F6" s="111">
        <f t="shared" si="0"/>
        <v>5519.6354586101497</v>
      </c>
      <c r="G6" s="111">
        <f t="shared" si="0"/>
        <v>6980.93401478539</v>
      </c>
    </row>
    <row r="7" spans="1:19" s="37" customFormat="1" x14ac:dyDescent="0.25">
      <c r="A7" s="113" t="str">
        <f>YT_ALL!A7</f>
        <v>Внутрішній борг</v>
      </c>
      <c r="B7" s="18">
        <f>YT_ALL!B7/DMLMLR</f>
        <v>838.84791942062998</v>
      </c>
      <c r="C7" s="18">
        <f>YT_ALL!C7/DMLMLR</f>
        <v>1032.9472373433</v>
      </c>
      <c r="D7" s="18">
        <f>YT_ALL!D7/DMLMLR</f>
        <v>1111.59786125906</v>
      </c>
      <c r="E7" s="18">
        <f>YT_ALL!E7/DMLMLR</f>
        <v>1461.888183668</v>
      </c>
      <c r="F7" s="18">
        <f>YT_ALL!F7/DMLMLR</f>
        <v>1656.49630379928</v>
      </c>
      <c r="G7" s="18">
        <f>YT_ALL!G7/DMLMLR</f>
        <v>1932.48958136344</v>
      </c>
    </row>
    <row r="8" spans="1:19" s="37" customFormat="1" x14ac:dyDescent="0.25">
      <c r="A8" s="113" t="str">
        <f>YT_ALL!A8</f>
        <v>Зовнішній борг</v>
      </c>
      <c r="B8" s="18">
        <f>YT_ALL!B8/DMLMLR</f>
        <v>1159.4479805441299</v>
      </c>
      <c r="C8" s="18">
        <f>YT_ALL!C8/DMLMLR</f>
        <v>1518.9344878609099</v>
      </c>
      <c r="D8" s="18">
        <f>YT_ALL!D8/DMLMLR</f>
        <v>1560.4621590567101</v>
      </c>
      <c r="E8" s="18">
        <f>YT_ALL!E8/DMLMLR</f>
        <v>2613.6796544812701</v>
      </c>
      <c r="F8" s="18">
        <f>YT_ALL!F8/DMLMLR</f>
        <v>3863.13915481087</v>
      </c>
      <c r="G8" s="18">
        <f>YT_ALL!G8/DMLMLR</f>
        <v>5048.4444334219497</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млрд. дол. США</v>
      </c>
      <c r="H10" s="25"/>
      <c r="I10" s="25"/>
      <c r="J10" s="25"/>
      <c r="K10" s="25"/>
      <c r="L10" s="25"/>
      <c r="M10" s="25"/>
      <c r="N10" s="25"/>
      <c r="O10" s="25"/>
      <c r="P10" s="25"/>
      <c r="Q10" s="25"/>
    </row>
    <row r="11" spans="1:19" s="33" customFormat="1" x14ac:dyDescent="0.3">
      <c r="A11" s="112"/>
      <c r="B11" s="12">
        <f>YT_ALL!B11</f>
        <v>43830</v>
      </c>
      <c r="C11" s="12">
        <f>YT_ALL!C11</f>
        <v>44196</v>
      </c>
      <c r="D11" s="12">
        <f>YT_ALL!D11</f>
        <v>44561</v>
      </c>
      <c r="E11" s="12">
        <f>YT_ALL!E11</f>
        <v>44926</v>
      </c>
      <c r="F11" s="12">
        <f>YT_ALL!F11</f>
        <v>45291</v>
      </c>
      <c r="G11" s="12">
        <f>YT_ALL!G11</f>
        <v>45657</v>
      </c>
      <c r="H11" s="13"/>
      <c r="I11" s="13"/>
      <c r="J11" s="13"/>
      <c r="K11" s="13"/>
      <c r="L11" s="13"/>
      <c r="M11" s="13"/>
      <c r="N11" s="13"/>
      <c r="O11" s="13"/>
      <c r="P11" s="13"/>
      <c r="Q11" s="13"/>
      <c r="R11" s="13"/>
      <c r="S11" s="13"/>
    </row>
    <row r="12" spans="1:19" s="35" customFormat="1" x14ac:dyDescent="0.3">
      <c r="A12" s="149" t="str">
        <f>DEBT_TOTAL</f>
        <v>Загальна сума державного та гарантованого державою боргу</v>
      </c>
      <c r="B12" s="111">
        <f t="shared" ref="B12:G12" si="1">SUM(B$13+ B$14)</f>
        <v>84.365406859860002</v>
      </c>
      <c r="C12" s="111">
        <f t="shared" si="1"/>
        <v>90.253504035259994</v>
      </c>
      <c r="D12" s="111">
        <f t="shared" si="1"/>
        <v>97.955877598960001</v>
      </c>
      <c r="E12" s="111">
        <f t="shared" si="1"/>
        <v>111.44992803011999</v>
      </c>
      <c r="F12" s="111">
        <f t="shared" si="1"/>
        <v>145.32087120896</v>
      </c>
      <c r="G12" s="111">
        <f t="shared" si="1"/>
        <v>166.05851744312</v>
      </c>
      <c r="H12" s="34"/>
      <c r="I12" s="34"/>
      <c r="J12" s="34"/>
      <c r="K12" s="34"/>
      <c r="L12" s="34"/>
      <c r="M12" s="34"/>
      <c r="N12" s="34"/>
      <c r="O12" s="34"/>
      <c r="P12" s="34"/>
      <c r="Q12" s="34"/>
    </row>
    <row r="13" spans="1:19" s="39" customFormat="1" x14ac:dyDescent="0.3">
      <c r="A13" s="113" t="str">
        <f>YT_ALL!A13</f>
        <v>Внутрішній борг</v>
      </c>
      <c r="B13" s="18">
        <f>YT_ALL!B13/DMLMLR</f>
        <v>35.415048400320003</v>
      </c>
      <c r="C13" s="18">
        <f>YT_ALL!C13/DMLMLR</f>
        <v>36.532691438050001</v>
      </c>
      <c r="D13" s="18">
        <f>YT_ALL!D13/DMLMLR</f>
        <v>40.750410997160003</v>
      </c>
      <c r="E13" s="18">
        <f>YT_ALL!E13/DMLMLR</f>
        <v>39.976596962419997</v>
      </c>
      <c r="F13" s="18">
        <f>YT_ALL!F13/DMLMLR</f>
        <v>43.612207332799997</v>
      </c>
      <c r="G13" s="18">
        <f>YT_ALL!G13/DMLMLR</f>
        <v>45.968971226080001</v>
      </c>
      <c r="H13" s="38"/>
      <c r="I13" s="38"/>
      <c r="J13" s="38"/>
      <c r="K13" s="38"/>
      <c r="L13" s="38"/>
      <c r="M13" s="38"/>
      <c r="N13" s="38"/>
      <c r="O13" s="38"/>
      <c r="P13" s="38"/>
      <c r="Q13" s="38"/>
    </row>
    <row r="14" spans="1:19" s="39" customFormat="1" x14ac:dyDescent="0.3">
      <c r="A14" s="113" t="str">
        <f>YT_ALL!A14</f>
        <v>Зовнішній борг</v>
      </c>
      <c r="B14" s="18">
        <f>YT_ALL!B14/DMLMLR</f>
        <v>48.950358459539999</v>
      </c>
      <c r="C14" s="18">
        <f>YT_ALL!C14/DMLMLR</f>
        <v>53.720812597209999</v>
      </c>
      <c r="D14" s="18">
        <f>YT_ALL!D14/DMLMLR</f>
        <v>57.205466601799998</v>
      </c>
      <c r="E14" s="18">
        <f>YT_ALL!E14/DMLMLR</f>
        <v>71.473331067700002</v>
      </c>
      <c r="F14" s="18">
        <f>YT_ALL!F14/DMLMLR</f>
        <v>101.70866387616</v>
      </c>
      <c r="G14" s="18">
        <f>YT_ALL!G14/DMLMLR</f>
        <v>120.08954621704</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43830</v>
      </c>
      <c r="C17" s="12">
        <f>YT_ALL!C17</f>
        <v>44196</v>
      </c>
      <c r="D17" s="12">
        <f>YT_ALL!D17</f>
        <v>44561</v>
      </c>
      <c r="E17" s="12">
        <f>YT_ALL!E17</f>
        <v>44926</v>
      </c>
      <c r="F17" s="12">
        <f>YT_ALL!F17</f>
        <v>45291</v>
      </c>
      <c r="G17" s="12">
        <f>YT_ALL!G17</f>
        <v>45657</v>
      </c>
      <c r="H17" s="13"/>
      <c r="I17" s="13"/>
      <c r="J17" s="13"/>
      <c r="K17" s="13"/>
      <c r="L17" s="13"/>
      <c r="M17" s="13"/>
      <c r="N17" s="13"/>
      <c r="O17" s="13"/>
      <c r="P17" s="13"/>
      <c r="Q17" s="13"/>
      <c r="R17" s="13"/>
      <c r="S17" s="13"/>
    </row>
    <row r="18" spans="1:19" s="35" customFormat="1" x14ac:dyDescent="0.3">
      <c r="A18" s="149" t="str">
        <f>DEBT_TOTAL</f>
        <v>Загальна сума державного та гарантованого державою боргу</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YT_ALL!A19</f>
        <v>Внутрішній борг</v>
      </c>
      <c r="B19" s="57">
        <f>YT_ALL!B19</f>
        <v>0.41978199999999999</v>
      </c>
      <c r="C19" s="57">
        <f>YT_ALL!C19</f>
        <v>0.404779</v>
      </c>
      <c r="D19" s="57">
        <f>YT_ALL!D19</f>
        <v>0.41600799999999999</v>
      </c>
      <c r="E19" s="57">
        <f>YT_ALL!E19</f>
        <v>0.35869600000000001</v>
      </c>
      <c r="F19" s="57">
        <f>YT_ALL!F19</f>
        <v>0.30010999999999999</v>
      </c>
      <c r="G19" s="57">
        <f>YT_ALL!G19</f>
        <v>0.27682400000000001</v>
      </c>
      <c r="H19" s="38"/>
      <c r="I19" s="38"/>
      <c r="J19" s="38"/>
      <c r="K19" s="38"/>
      <c r="L19" s="38"/>
      <c r="M19" s="38"/>
      <c r="N19" s="38"/>
      <c r="O19" s="38"/>
      <c r="P19" s="38"/>
      <c r="Q19" s="38"/>
    </row>
    <row r="20" spans="1:19" s="39" customFormat="1" x14ac:dyDescent="0.3">
      <c r="A20" s="113" t="str">
        <f>YT_ALL!A20</f>
        <v>Зовнішній борг</v>
      </c>
      <c r="B20" s="57">
        <f>YT_ALL!B20</f>
        <v>0.58021800000000001</v>
      </c>
      <c r="C20" s="57">
        <f>YT_ALL!C20</f>
        <v>0.595221</v>
      </c>
      <c r="D20" s="57">
        <f>YT_ALL!D20</f>
        <v>0.58399199999999996</v>
      </c>
      <c r="E20" s="57">
        <f>YT_ALL!E20</f>
        <v>0.64130399999999999</v>
      </c>
      <c r="F20" s="57">
        <f>YT_ALL!F20</f>
        <v>0.69989000000000001</v>
      </c>
      <c r="G20" s="57">
        <f>YT_ALL!G20</f>
        <v>0.72317600000000004</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1" bestFit="1" customWidth="1"/>
    <col min="2" max="7" width="11.7265625" style="21" customWidth="1"/>
    <col min="8" max="8" width="9.1796875" style="21" customWidth="1"/>
    <col min="9" max="16384" width="9.1796875" style="21"/>
  </cols>
  <sheetData>
    <row r="2" spans="1:19" ht="18.5" x14ac:dyDescent="0.45">
      <c r="A2" s="278" t="str">
        <f>DEBT_LAST_5_YEARS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4" spans="1:19" s="26" customFormat="1" x14ac:dyDescent="0.3">
      <c r="G4" s="147" t="str">
        <f>VALUAH</f>
        <v>млрд. грн</v>
      </c>
    </row>
    <row r="5" spans="1:19" s="13" customFormat="1" x14ac:dyDescent="0.25">
      <c r="A5" s="59"/>
      <c r="B5" s="12">
        <f>YT_ALL!B5</f>
        <v>43830</v>
      </c>
      <c r="C5" s="12">
        <f>YT_ALL!C5</f>
        <v>44196</v>
      </c>
      <c r="D5" s="12">
        <f>YT_ALL!D5</f>
        <v>44561</v>
      </c>
      <c r="E5" s="12">
        <f>YT_ALL!E5</f>
        <v>44926</v>
      </c>
      <c r="F5" s="12">
        <f>YT_ALL!F5</f>
        <v>45291</v>
      </c>
      <c r="G5" s="12">
        <f>YT_ALL!G5</f>
        <v>45657</v>
      </c>
    </row>
    <row r="6" spans="1:19" s="14" customFormat="1" x14ac:dyDescent="0.25">
      <c r="A6" s="149" t="str">
        <f>DEBT_TOTAL</f>
        <v>Загальна сума державного та гарантованого державою боргу</v>
      </c>
      <c r="B6" s="111">
        <f t="shared" ref="B6:G6" si="0">SUM(B$7+ B$8)</f>
        <v>1998.2958999647599</v>
      </c>
      <c r="C6" s="111">
        <f t="shared" si="0"/>
        <v>2551.8817252042099</v>
      </c>
      <c r="D6" s="111">
        <f t="shared" si="0"/>
        <v>2672.0600203157701</v>
      </c>
      <c r="E6" s="111">
        <f t="shared" si="0"/>
        <v>4075.5678381492698</v>
      </c>
      <c r="F6" s="111">
        <f t="shared" si="0"/>
        <v>5519.6354586101497</v>
      </c>
      <c r="G6" s="111">
        <f t="shared" si="0"/>
        <v>6980.93401478539</v>
      </c>
    </row>
    <row r="7" spans="1:19" s="37" customFormat="1" x14ac:dyDescent="0.25">
      <c r="A7" s="113" t="str">
        <f>YK_ALL!A7</f>
        <v>Державний борг</v>
      </c>
      <c r="B7" s="18">
        <f>YK_ALL!B7/DMLMLR</f>
        <v>1761.36913148087</v>
      </c>
      <c r="C7" s="18">
        <f>YK_ALL!C7/DMLMLR</f>
        <v>2259.2315015926201</v>
      </c>
      <c r="D7" s="18">
        <f>YK_ALL!D7/DMLMLR</f>
        <v>2362.7201507571899</v>
      </c>
      <c r="E7" s="18">
        <f>YK_ALL!E7/DMLMLR</f>
        <v>3715.1336317660898</v>
      </c>
      <c r="F7" s="18">
        <f>YK_ALL!F7/DMLMLR</f>
        <v>5188.0907415274296</v>
      </c>
      <c r="G7" s="18">
        <f>YK_ALL!G7/DMLMLR</f>
        <v>6692.4229054677799</v>
      </c>
    </row>
    <row r="8" spans="1:19" s="37" customFormat="1" x14ac:dyDescent="0.25">
      <c r="A8" s="113" t="str">
        <f>YK_ALL!A8</f>
        <v>Гарантований державою борг</v>
      </c>
      <c r="B8" s="18">
        <f>YK_ALL!B8/DMLMLR</f>
        <v>236.92676848388999</v>
      </c>
      <c r="C8" s="18">
        <f>YK_ALL!C8/DMLMLR</f>
        <v>292.65022361158998</v>
      </c>
      <c r="D8" s="18">
        <f>YK_ALL!D8/DMLMLR</f>
        <v>309.33986955858001</v>
      </c>
      <c r="E8" s="18">
        <f>YK_ALL!E8/DMLMLR</f>
        <v>360.43420638318003</v>
      </c>
      <c r="F8" s="18">
        <f>YK_ALL!F8/DMLMLR</f>
        <v>331.54471708272001</v>
      </c>
      <c r="G8" s="18">
        <f>YK_ALL!G8/DMLMLR</f>
        <v>288.51110931761002</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147" t="str">
        <f>VALUSD</f>
        <v>млрд. дол. США</v>
      </c>
      <c r="H10" s="25"/>
      <c r="I10" s="25"/>
      <c r="J10" s="25"/>
      <c r="K10" s="25"/>
      <c r="L10" s="25"/>
      <c r="M10" s="25"/>
      <c r="N10" s="25"/>
      <c r="O10" s="25"/>
      <c r="P10" s="25"/>
      <c r="Q10" s="25"/>
    </row>
    <row r="11" spans="1:19" s="33" customFormat="1" x14ac:dyDescent="0.3">
      <c r="A11" s="112"/>
      <c r="B11" s="12">
        <f>YT_ALL!B11</f>
        <v>43830</v>
      </c>
      <c r="C11" s="12">
        <f>YT_ALL!C11</f>
        <v>44196</v>
      </c>
      <c r="D11" s="12">
        <f>YT_ALL!D11</f>
        <v>44561</v>
      </c>
      <c r="E11" s="12">
        <f>YT_ALL!E11</f>
        <v>44926</v>
      </c>
      <c r="F11" s="12">
        <f>YT_ALL!F11</f>
        <v>45291</v>
      </c>
      <c r="G11" s="12">
        <f>YT_ALL!G11</f>
        <v>45657</v>
      </c>
      <c r="H11" s="13"/>
      <c r="I11" s="13"/>
      <c r="J11" s="13"/>
      <c r="K11" s="13"/>
      <c r="L11" s="13"/>
      <c r="M11" s="13"/>
      <c r="N11" s="13"/>
      <c r="O11" s="13"/>
      <c r="P11" s="13"/>
      <c r="Q11" s="13"/>
      <c r="R11" s="13"/>
      <c r="S11" s="13"/>
    </row>
    <row r="12" spans="1:19" s="35" customFormat="1" x14ac:dyDescent="0.3">
      <c r="A12" s="149" t="str">
        <f>DEBT_TOTAL</f>
        <v>Загальна сума державного та гарантованого державою боргу</v>
      </c>
      <c r="B12" s="111">
        <f t="shared" ref="B12:G12" si="1">SUM(B$13+ B$14)</f>
        <v>84.365406859860002</v>
      </c>
      <c r="C12" s="111">
        <f t="shared" si="1"/>
        <v>90.253504035260008</v>
      </c>
      <c r="D12" s="111">
        <f t="shared" si="1"/>
        <v>97.955877598960001</v>
      </c>
      <c r="E12" s="111">
        <f t="shared" si="1"/>
        <v>111.44992803012001</v>
      </c>
      <c r="F12" s="111">
        <f t="shared" si="1"/>
        <v>145.32087120896</v>
      </c>
      <c r="G12" s="111">
        <f t="shared" si="1"/>
        <v>166.05851744312</v>
      </c>
      <c r="H12" s="34"/>
      <c r="I12" s="34"/>
      <c r="J12" s="34"/>
      <c r="K12" s="34"/>
      <c r="L12" s="34"/>
      <c r="M12" s="34"/>
      <c r="N12" s="34"/>
      <c r="O12" s="34"/>
      <c r="P12" s="34"/>
      <c r="Q12" s="34"/>
    </row>
    <row r="13" spans="1:19" s="39" customFormat="1" x14ac:dyDescent="0.3">
      <c r="A13" s="113" t="str">
        <f>YK_ALL!A13</f>
        <v>Державний борг</v>
      </c>
      <c r="B13" s="18">
        <f>YK_ALL!B13/DMLMLR</f>
        <v>74.362672420240003</v>
      </c>
      <c r="C13" s="18">
        <f>YK_ALL!C13/DMLMLR</f>
        <v>79.903217077660003</v>
      </c>
      <c r="D13" s="18">
        <f>YK_ALL!D13/DMLMLR</f>
        <v>86.615691312519999</v>
      </c>
      <c r="E13" s="18">
        <f>YK_ALL!E13/DMLMLR</f>
        <v>101.59354286955001</v>
      </c>
      <c r="F13" s="18">
        <f>YK_ALL!F13/DMLMLR</f>
        <v>136.59196737241001</v>
      </c>
      <c r="G13" s="18">
        <f>YK_ALL!G13/DMLMLR</f>
        <v>159.19557804599</v>
      </c>
      <c r="H13" s="38"/>
      <c r="I13" s="38"/>
      <c r="J13" s="38"/>
      <c r="K13" s="38"/>
      <c r="L13" s="38"/>
      <c r="M13" s="38"/>
      <c r="N13" s="38"/>
      <c r="O13" s="38"/>
      <c r="P13" s="38"/>
      <c r="Q13" s="38"/>
    </row>
    <row r="14" spans="1:19" s="39" customFormat="1" x14ac:dyDescent="0.3">
      <c r="A14" s="113" t="str">
        <f>YK_ALL!A14</f>
        <v>Гарантований державою борг</v>
      </c>
      <c r="B14" s="18">
        <f>YK_ALL!B14/DMLMLR</f>
        <v>10.002734439619999</v>
      </c>
      <c r="C14" s="18">
        <f>YK_ALL!C14/DMLMLR</f>
        <v>10.3502869576</v>
      </c>
      <c r="D14" s="18">
        <f>YK_ALL!D14/DMLMLR</f>
        <v>11.34018628644</v>
      </c>
      <c r="E14" s="18">
        <f>YK_ALL!E14/DMLMLR</f>
        <v>9.8563851605699995</v>
      </c>
      <c r="F14" s="18">
        <f>YK_ALL!F14/DMLMLR</f>
        <v>8.7289038365499998</v>
      </c>
      <c r="G14" s="18">
        <f>YK_ALL!G14/DMLMLR</f>
        <v>6.8629393971299999</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2"/>
      <c r="B17" s="12">
        <f>YT_ALL!B17</f>
        <v>43830</v>
      </c>
      <c r="C17" s="12">
        <f>YT_ALL!C17</f>
        <v>44196</v>
      </c>
      <c r="D17" s="12">
        <f>YT_ALL!D17</f>
        <v>44561</v>
      </c>
      <c r="E17" s="12">
        <f>YT_ALL!E17</f>
        <v>44926</v>
      </c>
      <c r="F17" s="12">
        <f>YT_ALL!F17</f>
        <v>45291</v>
      </c>
      <c r="G17" s="12">
        <f>YT_ALL!G17</f>
        <v>45657</v>
      </c>
      <c r="H17" s="13"/>
      <c r="I17" s="13"/>
      <c r="J17" s="13"/>
      <c r="K17" s="13"/>
      <c r="L17" s="13"/>
      <c r="M17" s="13"/>
      <c r="N17" s="13"/>
      <c r="O17" s="13"/>
      <c r="P17" s="13"/>
      <c r="Q17" s="13"/>
      <c r="R17" s="13"/>
      <c r="S17" s="13"/>
    </row>
    <row r="18" spans="1:19" s="35" customFormat="1" x14ac:dyDescent="0.3">
      <c r="A18" s="149" t="str">
        <f>DEBT_TOTAL</f>
        <v>Загальна сума державного та гарантованого державою боргу</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x14ac:dyDescent="0.3">
      <c r="A19" s="113" t="str">
        <f>YK_ALL!A19</f>
        <v>Державний борг</v>
      </c>
      <c r="B19" s="18">
        <f>YK_ALL!B19</f>
        <v>0.881436</v>
      </c>
      <c r="C19" s="18">
        <f>YK_ALL!C19</f>
        <v>0.88532</v>
      </c>
      <c r="D19" s="18">
        <f>YK_ALL!D19</f>
        <v>0.88423200000000002</v>
      </c>
      <c r="E19" s="18">
        <f>YK_ALL!E19</f>
        <v>0.91156199999999998</v>
      </c>
      <c r="F19" s="18">
        <f>YK_ALL!F19</f>
        <v>0.93993400000000005</v>
      </c>
      <c r="G19" s="18">
        <f>YK_ALL!G19</f>
        <v>0.95867199999999997</v>
      </c>
      <c r="H19" s="38"/>
      <c r="I19" s="38"/>
      <c r="J19" s="38"/>
      <c r="K19" s="38"/>
      <c r="L19" s="38"/>
      <c r="M19" s="38"/>
      <c r="N19" s="38"/>
      <c r="O19" s="38"/>
      <c r="P19" s="38"/>
      <c r="Q19" s="38"/>
    </row>
    <row r="20" spans="1:19" s="39" customFormat="1" x14ac:dyDescent="0.3">
      <c r="A20" s="113" t="str">
        <f>YK_ALL!A20</f>
        <v>Гарантований державою борг</v>
      </c>
      <c r="B20" s="18">
        <f>YK_ALL!B20</f>
        <v>0.118564</v>
      </c>
      <c r="C20" s="18">
        <f>YK_ALL!C20</f>
        <v>0.11468</v>
      </c>
      <c r="D20" s="18">
        <f>YK_ALL!D20</f>
        <v>0.115768</v>
      </c>
      <c r="E20" s="18">
        <f>YK_ALL!E20</f>
        <v>8.8438000000000003E-2</v>
      </c>
      <c r="F20" s="18">
        <f>YK_ALL!F20</f>
        <v>6.0066000000000001E-2</v>
      </c>
      <c r="G20" s="18">
        <f>YK_ALL!G20</f>
        <v>4.1327999999999997E-2</v>
      </c>
      <c r="H20" s="38"/>
      <c r="I20" s="38"/>
      <c r="J20" s="38"/>
      <c r="K20" s="38"/>
      <c r="L20" s="38"/>
      <c r="M20" s="38"/>
      <c r="N20" s="38"/>
      <c r="O20" s="38"/>
      <c r="P20" s="38"/>
      <c r="Q20" s="38"/>
    </row>
    <row r="21" spans="1:19" x14ac:dyDescent="0.3">
      <c r="A21" s="74"/>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tabColor indexed="50"/>
    <outlinePr applyStyles="1" summaryBelow="0"/>
    <pageSetUpPr fitToPage="1"/>
  </sheetPr>
  <dimension ref="A2:S247"/>
  <sheetViews>
    <sheetView workbookViewId="0">
      <selection activeCell="A13" sqref="A13"/>
    </sheetView>
  </sheetViews>
  <sheetFormatPr defaultColWidth="9.1796875" defaultRowHeight="13" outlineLevelRow="1" x14ac:dyDescent="0.3"/>
  <cols>
    <col min="1" max="1" width="52.7265625" style="21" bestFit="1" customWidth="1"/>
    <col min="2" max="3" width="13.54296875" style="21" bestFit="1" customWidth="1"/>
    <col min="4" max="4" width="14" style="21" bestFit="1" customWidth="1"/>
    <col min="5" max="7" width="14.54296875" style="21" bestFit="1" customWidth="1"/>
    <col min="8" max="8" width="9.1796875" style="21" customWidth="1"/>
    <col min="9" max="16384" width="9.1796875" style="21"/>
  </cols>
  <sheetData>
    <row r="2" spans="1:19" ht="18.5" x14ac:dyDescent="0.45">
      <c r="A2" s="278" t="str">
        <f>DEBT_LAST_5_YEARS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G4" s="26" t="str">
        <f>VALUAH</f>
        <v>млрд. грн</v>
      </c>
    </row>
    <row r="5" spans="1:19" s="13" customFormat="1" x14ac:dyDescent="0.25">
      <c r="A5" s="11"/>
      <c r="B5" s="12">
        <v>43830</v>
      </c>
      <c r="C5" s="12">
        <v>44196</v>
      </c>
      <c r="D5" s="12">
        <v>44561</v>
      </c>
      <c r="E5" s="12">
        <v>44926</v>
      </c>
      <c r="F5" s="12">
        <v>45291</v>
      </c>
      <c r="G5" s="12">
        <v>45657</v>
      </c>
    </row>
    <row r="6" spans="1:19" s="14" customFormat="1" x14ac:dyDescent="0.25">
      <c r="A6" s="149" t="str">
        <f>DEBT_TOTAL</f>
        <v>Загальна сума державного та гарантованого державою боргу</v>
      </c>
      <c r="B6" s="111">
        <f t="shared" ref="B6:G6" si="0">SUM(B$7+ B$8)</f>
        <v>1998.2958999647599</v>
      </c>
      <c r="C6" s="111">
        <f t="shared" si="0"/>
        <v>2551.8817252042099</v>
      </c>
      <c r="D6" s="111">
        <f t="shared" si="0"/>
        <v>2672.0600203157701</v>
      </c>
      <c r="E6" s="111">
        <f t="shared" si="0"/>
        <v>4075.5678381492698</v>
      </c>
      <c r="F6" s="111">
        <f t="shared" si="0"/>
        <v>5519.6354586101497</v>
      </c>
      <c r="G6" s="111">
        <f t="shared" si="0"/>
        <v>6980.93401478539</v>
      </c>
    </row>
    <row r="7" spans="1:19" s="37" customFormat="1" outlineLevel="1" x14ac:dyDescent="0.25">
      <c r="A7" s="159" t="s">
        <v>1</v>
      </c>
      <c r="B7" s="165">
        <v>1761.36913148087</v>
      </c>
      <c r="C7" s="165">
        <v>2259.2315015926201</v>
      </c>
      <c r="D7" s="165">
        <v>2362.7201507571899</v>
      </c>
      <c r="E7" s="165">
        <v>3715.1336317660898</v>
      </c>
      <c r="F7" s="165">
        <v>5188.0907415274296</v>
      </c>
      <c r="G7" s="165">
        <v>6692.4229054677799</v>
      </c>
    </row>
    <row r="8" spans="1:19" s="37" customFormat="1" outlineLevel="1" x14ac:dyDescent="0.25">
      <c r="A8" s="159" t="s">
        <v>2</v>
      </c>
      <c r="B8" s="165">
        <v>236.92676848388999</v>
      </c>
      <c r="C8" s="165">
        <v>292.65022361158998</v>
      </c>
      <c r="D8" s="165">
        <v>309.33986955858001</v>
      </c>
      <c r="E8" s="165">
        <v>360.43420638318003</v>
      </c>
      <c r="F8" s="165">
        <v>331.54471708272001</v>
      </c>
      <c r="G8" s="165">
        <v>288.51110931761002</v>
      </c>
    </row>
    <row r="9" spans="1:19" x14ac:dyDescent="0.3">
      <c r="B9" s="25"/>
      <c r="C9" s="25"/>
      <c r="D9" s="25"/>
      <c r="E9" s="25"/>
      <c r="F9" s="25"/>
      <c r="G9" s="25"/>
      <c r="H9" s="25"/>
      <c r="I9" s="25"/>
      <c r="J9" s="25"/>
      <c r="K9" s="25"/>
      <c r="L9" s="25"/>
      <c r="M9" s="25"/>
      <c r="N9" s="25"/>
      <c r="O9" s="25"/>
      <c r="P9" s="25"/>
      <c r="Q9" s="25"/>
    </row>
    <row r="10" spans="1:19" x14ac:dyDescent="0.3">
      <c r="B10" s="25"/>
      <c r="C10" s="25"/>
      <c r="D10" s="25"/>
      <c r="E10" s="25"/>
      <c r="F10" s="25"/>
      <c r="G10" s="26" t="str">
        <f>VALUSD</f>
        <v>млрд. дол. США</v>
      </c>
      <c r="H10" s="25"/>
      <c r="I10" s="25"/>
      <c r="J10" s="25"/>
      <c r="K10" s="25"/>
      <c r="L10" s="25"/>
      <c r="M10" s="25"/>
      <c r="N10" s="25"/>
      <c r="O10" s="25"/>
      <c r="P10" s="25"/>
      <c r="Q10" s="25"/>
    </row>
    <row r="11" spans="1:19" s="33" customFormat="1" x14ac:dyDescent="0.3">
      <c r="A11" s="11"/>
      <c r="B11" s="12">
        <v>43830</v>
      </c>
      <c r="C11" s="12">
        <v>44196</v>
      </c>
      <c r="D11" s="12">
        <v>44561</v>
      </c>
      <c r="E11" s="12">
        <v>44926</v>
      </c>
      <c r="F11" s="12">
        <v>45291</v>
      </c>
      <c r="G11" s="12">
        <v>45657</v>
      </c>
      <c r="H11" s="13"/>
      <c r="I11" s="13"/>
      <c r="J11" s="13"/>
      <c r="K11" s="13"/>
      <c r="L11" s="13"/>
      <c r="M11" s="13"/>
      <c r="N11" s="13"/>
      <c r="O11" s="13"/>
      <c r="P11" s="13"/>
      <c r="Q11" s="13"/>
      <c r="R11" s="13"/>
      <c r="S11" s="13"/>
    </row>
    <row r="12" spans="1:19" s="35" customFormat="1" x14ac:dyDescent="0.3">
      <c r="A12" s="149" t="str">
        <f>DEBT_TOTAL</f>
        <v>Загальна сума державного та гарантованого державою боргу</v>
      </c>
      <c r="B12" s="111">
        <f t="shared" ref="B12:G12" si="1">SUM(B$13+ B$14)</f>
        <v>84.365406859860002</v>
      </c>
      <c r="C12" s="111">
        <f t="shared" si="1"/>
        <v>90.253504035260008</v>
      </c>
      <c r="D12" s="111">
        <f t="shared" si="1"/>
        <v>97.955877598960001</v>
      </c>
      <c r="E12" s="111">
        <f t="shared" si="1"/>
        <v>111.44992803012001</v>
      </c>
      <c r="F12" s="111">
        <f t="shared" si="1"/>
        <v>145.32087120896</v>
      </c>
      <c r="G12" s="111">
        <f t="shared" si="1"/>
        <v>166.05851744312</v>
      </c>
      <c r="H12" s="34"/>
      <c r="I12" s="34"/>
      <c r="J12" s="34"/>
      <c r="K12" s="34"/>
      <c r="L12" s="34"/>
      <c r="M12" s="34"/>
      <c r="N12" s="34"/>
      <c r="O12" s="34"/>
      <c r="P12" s="34"/>
      <c r="Q12" s="34"/>
    </row>
    <row r="13" spans="1:19" s="39" customFormat="1" outlineLevel="1" x14ac:dyDescent="0.3">
      <c r="A13" s="159" t="s">
        <v>1</v>
      </c>
      <c r="B13" s="160">
        <v>74.362672420240003</v>
      </c>
      <c r="C13" s="160">
        <v>79.903217077660003</v>
      </c>
      <c r="D13" s="160">
        <v>86.615691312519999</v>
      </c>
      <c r="E13" s="160">
        <v>101.59354286955001</v>
      </c>
      <c r="F13" s="160">
        <v>136.59196737241001</v>
      </c>
      <c r="G13" s="160">
        <v>159.19557804599</v>
      </c>
      <c r="H13" s="38"/>
      <c r="I13" s="38"/>
      <c r="J13" s="38"/>
      <c r="K13" s="38"/>
      <c r="L13" s="38"/>
      <c r="M13" s="38"/>
      <c r="N13" s="38"/>
      <c r="O13" s="38"/>
      <c r="P13" s="38"/>
      <c r="Q13" s="38"/>
    </row>
    <row r="14" spans="1:19" s="39" customFormat="1" outlineLevel="1" x14ac:dyDescent="0.3">
      <c r="A14" s="159" t="s">
        <v>2</v>
      </c>
      <c r="B14" s="160">
        <v>10.002734439619999</v>
      </c>
      <c r="C14" s="160">
        <v>10.3502869576</v>
      </c>
      <c r="D14" s="160">
        <v>11.34018628644</v>
      </c>
      <c r="E14" s="160">
        <v>9.8563851605699995</v>
      </c>
      <c r="F14" s="160">
        <v>8.7289038365499998</v>
      </c>
      <c r="G14" s="160">
        <v>6.8629393971299999</v>
      </c>
      <c r="H14" s="38"/>
      <c r="I14" s="38"/>
      <c r="J14" s="38"/>
      <c r="K14" s="38"/>
      <c r="L14" s="38"/>
      <c r="M14" s="38"/>
      <c r="N14" s="38"/>
      <c r="O14" s="38"/>
      <c r="P14" s="38"/>
      <c r="Q14" s="38"/>
    </row>
    <row r="15" spans="1:19" x14ac:dyDescent="0.3">
      <c r="B15" s="25"/>
      <c r="C15" s="25"/>
      <c r="D15" s="25"/>
      <c r="E15" s="25"/>
      <c r="F15" s="25"/>
      <c r="G15" s="25"/>
      <c r="H15" s="25"/>
      <c r="I15" s="25"/>
      <c r="J15" s="25"/>
      <c r="K15" s="25"/>
      <c r="L15" s="25"/>
      <c r="M15" s="25"/>
      <c r="N15" s="25"/>
      <c r="O15" s="25"/>
      <c r="P15" s="25"/>
      <c r="Q15" s="25"/>
    </row>
    <row r="16" spans="1:19" s="110" customFormat="1" x14ac:dyDescent="0.3">
      <c r="G16" s="36" t="s">
        <v>0</v>
      </c>
    </row>
    <row r="17" spans="1:19" s="33" customFormat="1" x14ac:dyDescent="0.3">
      <c r="A17" s="11"/>
      <c r="B17" s="12">
        <v>43830</v>
      </c>
      <c r="C17" s="12">
        <v>44196</v>
      </c>
      <c r="D17" s="12">
        <v>44561</v>
      </c>
      <c r="E17" s="12">
        <v>44926</v>
      </c>
      <c r="F17" s="12">
        <v>45291</v>
      </c>
      <c r="G17" s="12">
        <v>45657</v>
      </c>
      <c r="H17" s="13"/>
      <c r="I17" s="13"/>
      <c r="J17" s="13"/>
      <c r="K17" s="13"/>
      <c r="L17" s="13"/>
      <c r="M17" s="13"/>
      <c r="N17" s="13"/>
      <c r="O17" s="13"/>
      <c r="P17" s="13"/>
      <c r="Q17" s="13"/>
      <c r="R17" s="13"/>
      <c r="S17" s="13"/>
    </row>
    <row r="18" spans="1:19" s="35" customFormat="1" x14ac:dyDescent="0.3">
      <c r="A18" s="149" t="str">
        <f>DEBT_TOTAL</f>
        <v>Загальна сума державного та гарантованого державою боргу</v>
      </c>
      <c r="B18" s="111">
        <f t="shared" ref="B18:G18" si="2">SUM(B$19+ B$20)</f>
        <v>1</v>
      </c>
      <c r="C18" s="111">
        <f t="shared" si="2"/>
        <v>1</v>
      </c>
      <c r="D18" s="111">
        <f t="shared" si="2"/>
        <v>1</v>
      </c>
      <c r="E18" s="111">
        <f t="shared" si="2"/>
        <v>1</v>
      </c>
      <c r="F18" s="111">
        <f t="shared" si="2"/>
        <v>1</v>
      </c>
      <c r="G18" s="111">
        <f t="shared" si="2"/>
        <v>1</v>
      </c>
      <c r="H18" s="34"/>
      <c r="I18" s="34"/>
      <c r="J18" s="34"/>
      <c r="K18" s="34"/>
      <c r="L18" s="34"/>
      <c r="M18" s="34"/>
      <c r="N18" s="34"/>
      <c r="O18" s="34"/>
      <c r="P18" s="34"/>
      <c r="Q18" s="34"/>
    </row>
    <row r="19" spans="1:19" s="39" customFormat="1" outlineLevel="1" x14ac:dyDescent="0.3">
      <c r="A19" s="159" t="s">
        <v>1</v>
      </c>
      <c r="B19" s="163">
        <v>0.881436</v>
      </c>
      <c r="C19" s="163">
        <v>0.88532</v>
      </c>
      <c r="D19" s="163">
        <v>0.88423200000000002</v>
      </c>
      <c r="E19" s="163">
        <v>0.91156199999999998</v>
      </c>
      <c r="F19" s="163">
        <v>0.93993400000000005</v>
      </c>
      <c r="G19" s="163">
        <v>0.95867199999999997</v>
      </c>
      <c r="H19" s="38"/>
      <c r="I19" s="38"/>
      <c r="J19" s="38"/>
      <c r="K19" s="38"/>
      <c r="L19" s="38"/>
      <c r="M19" s="38"/>
      <c r="N19" s="38"/>
      <c r="O19" s="38"/>
      <c r="P19" s="38"/>
      <c r="Q19" s="38"/>
    </row>
    <row r="20" spans="1:19" s="39" customFormat="1" outlineLevel="1" x14ac:dyDescent="0.3">
      <c r="A20" s="159" t="s">
        <v>2</v>
      </c>
      <c r="B20" s="163">
        <v>0.118564</v>
      </c>
      <c r="C20" s="163">
        <v>0.11468</v>
      </c>
      <c r="D20" s="163">
        <v>0.115768</v>
      </c>
      <c r="E20" s="163">
        <v>8.8438000000000003E-2</v>
      </c>
      <c r="F20" s="163">
        <v>6.0066000000000001E-2</v>
      </c>
      <c r="G20" s="163">
        <v>4.1327999999999997E-2</v>
      </c>
      <c r="H20" s="38"/>
      <c r="I20" s="38"/>
      <c r="J20" s="38"/>
      <c r="K20" s="38"/>
      <c r="L20" s="38"/>
      <c r="M20" s="38"/>
      <c r="N20" s="38"/>
      <c r="O20" s="38"/>
      <c r="P20" s="38"/>
      <c r="Q20" s="38"/>
    </row>
    <row r="21" spans="1:19" x14ac:dyDescent="0.3">
      <c r="B21" s="25"/>
      <c r="C21" s="25"/>
      <c r="D21" s="25"/>
      <c r="E21" s="25"/>
      <c r="F21" s="25"/>
      <c r="G21" s="25"/>
      <c r="H21" s="25"/>
      <c r="I21" s="25"/>
      <c r="J21" s="25"/>
      <c r="K21" s="25"/>
      <c r="L21" s="25"/>
      <c r="M21" s="25"/>
      <c r="N21" s="25"/>
      <c r="O21" s="25"/>
      <c r="P21" s="25"/>
      <c r="Q21" s="25"/>
    </row>
    <row r="22" spans="1:19" x14ac:dyDescent="0.3">
      <c r="B22" s="25"/>
      <c r="C22" s="25"/>
      <c r="D22" s="25"/>
      <c r="E22" s="25"/>
      <c r="F22" s="25"/>
      <c r="G22" s="25"/>
      <c r="H22" s="25"/>
      <c r="I22" s="25"/>
      <c r="J22" s="25"/>
      <c r="K22" s="25"/>
      <c r="L22" s="25"/>
      <c r="M22" s="25"/>
      <c r="N22" s="25"/>
      <c r="O22" s="25"/>
      <c r="P22" s="25"/>
      <c r="Q22" s="25"/>
    </row>
    <row r="23" spans="1:19" x14ac:dyDescent="0.3">
      <c r="B23" s="25"/>
      <c r="C23" s="25"/>
      <c r="D23" s="25"/>
      <c r="E23" s="25"/>
      <c r="F23" s="25"/>
      <c r="G23" s="25"/>
      <c r="H23" s="25"/>
      <c r="I23" s="25"/>
      <c r="J23" s="25"/>
      <c r="K23" s="25"/>
      <c r="L23" s="25"/>
      <c r="M23" s="25"/>
      <c r="N23" s="25"/>
      <c r="O23" s="25"/>
      <c r="P23" s="25"/>
      <c r="Q23" s="25"/>
    </row>
    <row r="24" spans="1:19" x14ac:dyDescent="0.3">
      <c r="B24" s="25"/>
      <c r="C24" s="25"/>
      <c r="D24" s="25"/>
      <c r="E24" s="25"/>
      <c r="F24" s="25"/>
      <c r="G24" s="25"/>
      <c r="H24" s="25"/>
      <c r="I24" s="25"/>
      <c r="J24" s="25"/>
      <c r="K24" s="25"/>
      <c r="L24" s="25"/>
      <c r="M24" s="25"/>
      <c r="N24" s="25"/>
      <c r="O24" s="25"/>
      <c r="P24" s="25"/>
      <c r="Q24" s="25"/>
    </row>
    <row r="25" spans="1:19" s="110" customFormat="1" x14ac:dyDescent="0.3"/>
    <row r="26" spans="1:19" x14ac:dyDescent="0.3">
      <c r="B26" s="25"/>
      <c r="C26" s="25"/>
      <c r="D26" s="25"/>
      <c r="E26" s="25"/>
      <c r="F26" s="25"/>
      <c r="G26" s="25"/>
      <c r="H26" s="25"/>
      <c r="I26" s="25"/>
      <c r="J26" s="25"/>
      <c r="K26" s="25"/>
      <c r="L26" s="25"/>
      <c r="M26" s="25"/>
      <c r="N26" s="25"/>
      <c r="O26" s="25"/>
      <c r="P26" s="25"/>
      <c r="Q26" s="25"/>
    </row>
    <row r="27" spans="1:19" x14ac:dyDescent="0.3">
      <c r="B27" s="25"/>
      <c r="C27" s="25"/>
      <c r="D27" s="25"/>
      <c r="E27" s="25"/>
      <c r="F27" s="25"/>
      <c r="G27" s="25"/>
      <c r="H27" s="25"/>
      <c r="I27" s="25"/>
      <c r="J27" s="25"/>
      <c r="K27" s="25"/>
      <c r="L27" s="25"/>
      <c r="M27" s="25"/>
      <c r="N27" s="25"/>
      <c r="O27" s="25"/>
      <c r="P27" s="25"/>
      <c r="Q27" s="25"/>
    </row>
    <row r="28" spans="1:19" x14ac:dyDescent="0.3">
      <c r="B28" s="25"/>
      <c r="C28" s="25"/>
      <c r="D28" s="25"/>
      <c r="E28" s="25"/>
      <c r="F28" s="25"/>
      <c r="G28" s="25"/>
      <c r="H28" s="25"/>
      <c r="I28" s="25"/>
      <c r="J28" s="25"/>
      <c r="K28" s="25"/>
      <c r="L28" s="25"/>
      <c r="M28" s="25"/>
      <c r="N28" s="25"/>
      <c r="O28" s="25"/>
      <c r="P28" s="25"/>
      <c r="Q28" s="25"/>
    </row>
    <row r="29" spans="1:19" x14ac:dyDescent="0.3">
      <c r="B29" s="25"/>
      <c r="C29" s="25"/>
      <c r="D29" s="25"/>
      <c r="E29" s="25"/>
      <c r="F29" s="25"/>
      <c r="G29" s="25"/>
      <c r="H29" s="25"/>
      <c r="I29" s="25"/>
      <c r="J29" s="25"/>
      <c r="K29" s="25"/>
      <c r="L29" s="25"/>
      <c r="M29" s="25"/>
      <c r="N29" s="25"/>
      <c r="O29" s="25"/>
      <c r="P29" s="25"/>
      <c r="Q29" s="25"/>
    </row>
    <row r="30" spans="1:19" x14ac:dyDescent="0.3">
      <c r="B30" s="25"/>
      <c r="C30" s="25"/>
      <c r="D30" s="25"/>
      <c r="E30" s="25"/>
      <c r="F30" s="25"/>
      <c r="G30" s="25"/>
      <c r="H30" s="25"/>
      <c r="I30" s="25"/>
      <c r="J30" s="25"/>
      <c r="K30" s="25"/>
      <c r="L30" s="25"/>
      <c r="M30" s="25"/>
      <c r="N30" s="25"/>
      <c r="O30" s="25"/>
      <c r="P30" s="25"/>
      <c r="Q30" s="25"/>
    </row>
    <row r="31" spans="1:19" x14ac:dyDescent="0.3">
      <c r="B31" s="25"/>
      <c r="C31" s="25"/>
      <c r="D31" s="25"/>
      <c r="E31" s="25"/>
      <c r="F31" s="25"/>
      <c r="G31" s="25"/>
      <c r="H31" s="25"/>
      <c r="I31" s="25"/>
      <c r="J31" s="25"/>
      <c r="K31" s="25"/>
      <c r="L31" s="25"/>
      <c r="M31" s="25"/>
      <c r="N31" s="25"/>
      <c r="O31" s="25"/>
      <c r="P31" s="25"/>
      <c r="Q31" s="25"/>
    </row>
    <row r="32" spans="1:19"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indexed="50"/>
    <outlinePr applyStyles="1" summaryBelow="0"/>
    <pageSetUpPr fitToPage="1"/>
  </sheetPr>
  <dimension ref="A2:S168"/>
  <sheetViews>
    <sheetView workbookViewId="0">
      <selection activeCell="A2" sqref="A2:G2"/>
    </sheetView>
  </sheetViews>
  <sheetFormatPr defaultColWidth="9.1796875" defaultRowHeight="13" outlineLevelRow="4" x14ac:dyDescent="0.3"/>
  <cols>
    <col min="1" max="1" width="52" style="21" customWidth="1"/>
    <col min="2" max="7" width="16.2695312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VALUAH</f>
        <v>млрд. грн</v>
      </c>
    </row>
    <row r="5" spans="1:19" s="13" customFormat="1" x14ac:dyDescent="0.25">
      <c r="A5" s="11"/>
      <c r="B5" s="12">
        <v>43830</v>
      </c>
      <c r="C5" s="12">
        <v>44196</v>
      </c>
      <c r="D5" s="12">
        <v>44561</v>
      </c>
      <c r="E5" s="12">
        <v>44926</v>
      </c>
      <c r="F5" s="12">
        <v>45291</v>
      </c>
      <c r="G5" s="12">
        <v>45657</v>
      </c>
    </row>
    <row r="6" spans="1:19" s="14" customFormat="1" ht="31" x14ac:dyDescent="0.25">
      <c r="A6" s="140"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0">
        <f t="shared" ref="B6:G6" si="0">B$90+B$7</f>
        <v>1998.2958999647601</v>
      </c>
      <c r="C6" s="20">
        <f t="shared" si="0"/>
        <v>2551.8817252042099</v>
      </c>
      <c r="D6" s="20">
        <f t="shared" si="0"/>
        <v>2672.0600203157701</v>
      </c>
      <c r="E6" s="20">
        <f t="shared" si="0"/>
        <v>4075.5678381492708</v>
      </c>
      <c r="F6" s="20">
        <f t="shared" si="0"/>
        <v>5519.6354586101506</v>
      </c>
      <c r="G6" s="20">
        <f t="shared" si="0"/>
        <v>6980.9340147853909</v>
      </c>
    </row>
    <row r="7" spans="1:19" s="15" customFormat="1" ht="14.5" outlineLevel="1" x14ac:dyDescent="0.25">
      <c r="A7" s="181" t="s">
        <v>1</v>
      </c>
      <c r="B7" s="182">
        <f t="shared" ref="B7:G7" si="1">B$8+B$46</f>
        <v>1761.36913148087</v>
      </c>
      <c r="C7" s="182">
        <f t="shared" si="1"/>
        <v>2259.2315015926201</v>
      </c>
      <c r="D7" s="182">
        <f t="shared" si="1"/>
        <v>2362.7201507571899</v>
      </c>
      <c r="E7" s="182">
        <f t="shared" si="1"/>
        <v>3715.1336317660907</v>
      </c>
      <c r="F7" s="182">
        <f t="shared" si="1"/>
        <v>5188.0907415274305</v>
      </c>
      <c r="G7" s="182">
        <f t="shared" si="1"/>
        <v>6692.4229054677808</v>
      </c>
    </row>
    <row r="8" spans="1:19" s="16" customFormat="1" ht="14.5" outlineLevel="2" x14ac:dyDescent="0.25">
      <c r="A8" s="183" t="s">
        <v>57</v>
      </c>
      <c r="B8" s="184">
        <f t="shared" ref="B8:G8" si="2">B$9+B$44</f>
        <v>829.49510481237996</v>
      </c>
      <c r="C8" s="184">
        <f t="shared" si="2"/>
        <v>1000.7098766559003</v>
      </c>
      <c r="D8" s="184">
        <f t="shared" si="2"/>
        <v>1062.5590347498203</v>
      </c>
      <c r="E8" s="184">
        <f t="shared" si="2"/>
        <v>1389.6902523549404</v>
      </c>
      <c r="F8" s="184">
        <f t="shared" si="2"/>
        <v>1587.6975846597604</v>
      </c>
      <c r="G8" s="184">
        <f t="shared" si="2"/>
        <v>1863.132117454179</v>
      </c>
    </row>
    <row r="9" spans="1:19" s="17" customFormat="1" outlineLevel="3" x14ac:dyDescent="0.25">
      <c r="A9" s="171" t="s">
        <v>58</v>
      </c>
      <c r="B9" s="172">
        <f t="shared" ref="B9:G9" si="3">SUM(B$10:B$43)</f>
        <v>827.37906445219994</v>
      </c>
      <c r="C9" s="172">
        <f t="shared" si="3"/>
        <v>998.72608881820031</v>
      </c>
      <c r="D9" s="172">
        <f t="shared" si="3"/>
        <v>1060.7074994346003</v>
      </c>
      <c r="E9" s="172">
        <f t="shared" si="3"/>
        <v>1387.9709695622005</v>
      </c>
      <c r="F9" s="172">
        <f t="shared" si="3"/>
        <v>1586.1105543895005</v>
      </c>
      <c r="G9" s="172">
        <f t="shared" si="3"/>
        <v>1861.6773397063989</v>
      </c>
    </row>
    <row r="10" spans="1:19" s="37" customFormat="1" outlineLevel="4" x14ac:dyDescent="0.25">
      <c r="A10" s="173" t="s">
        <v>59</v>
      </c>
      <c r="B10" s="165">
        <v>72.721914999999996</v>
      </c>
      <c r="C10" s="165">
        <v>71.771915000000007</v>
      </c>
      <c r="D10" s="165">
        <v>81.333449999999999</v>
      </c>
      <c r="E10" s="165">
        <v>81.333449999999999</v>
      </c>
      <c r="F10" s="165">
        <v>75.401431000000002</v>
      </c>
      <c r="G10" s="165">
        <v>58.630439000000003</v>
      </c>
    </row>
    <row r="11" spans="1:19" outlineLevel="4" x14ac:dyDescent="0.3">
      <c r="A11" s="174" t="s">
        <v>60</v>
      </c>
      <c r="B11" s="175">
        <v>19.033000000000001</v>
      </c>
      <c r="C11" s="175">
        <v>19.033000000000001</v>
      </c>
      <c r="D11" s="175">
        <v>17.533000000000001</v>
      </c>
      <c r="E11" s="175">
        <v>17.533000000000001</v>
      </c>
      <c r="F11" s="175">
        <v>17.533000000000001</v>
      </c>
      <c r="G11" s="175">
        <v>17.533000000000001</v>
      </c>
      <c r="H11" s="25"/>
      <c r="I11" s="25"/>
      <c r="J11" s="25"/>
      <c r="K11" s="25"/>
      <c r="L11" s="25"/>
      <c r="M11" s="25"/>
      <c r="N11" s="25"/>
      <c r="O11" s="25"/>
      <c r="P11" s="25"/>
      <c r="Q11" s="25"/>
    </row>
    <row r="12" spans="1:19" outlineLevel="4" x14ac:dyDescent="0.3">
      <c r="A12" s="174" t="s">
        <v>61</v>
      </c>
      <c r="B12" s="175">
        <v>37.771855741800003</v>
      </c>
      <c r="C12" s="175">
        <v>55.628160976399997</v>
      </c>
      <c r="D12" s="175">
        <v>95.914618630199996</v>
      </c>
      <c r="E12" s="175">
        <v>53.805816397400001</v>
      </c>
      <c r="F12" s="175">
        <v>124.26256048570001</v>
      </c>
      <c r="G12" s="175">
        <v>3.8132242193999999</v>
      </c>
      <c r="H12" s="25"/>
      <c r="I12" s="25"/>
      <c r="J12" s="25"/>
      <c r="K12" s="25"/>
      <c r="L12" s="25"/>
      <c r="M12" s="25"/>
      <c r="N12" s="25"/>
      <c r="O12" s="25"/>
      <c r="P12" s="25"/>
      <c r="Q12" s="25"/>
    </row>
    <row r="13" spans="1:19" outlineLevel="4" x14ac:dyDescent="0.3">
      <c r="A13" s="174" t="s">
        <v>62</v>
      </c>
      <c r="B13" s="175">
        <v>36.5</v>
      </c>
      <c r="C13" s="175">
        <v>36.5</v>
      </c>
      <c r="D13" s="175">
        <v>36.5</v>
      </c>
      <c r="E13" s="175">
        <v>50</v>
      </c>
      <c r="F13" s="175">
        <v>50</v>
      </c>
      <c r="G13" s="175">
        <v>50</v>
      </c>
      <c r="H13" s="25"/>
      <c r="I13" s="25"/>
      <c r="J13" s="25"/>
      <c r="K13" s="25"/>
      <c r="L13" s="25"/>
      <c r="M13" s="25"/>
      <c r="N13" s="25"/>
      <c r="O13" s="25"/>
      <c r="P13" s="25"/>
      <c r="Q13" s="25"/>
    </row>
    <row r="14" spans="1:19" outlineLevel="4" x14ac:dyDescent="0.3">
      <c r="A14" s="174" t="s">
        <v>63</v>
      </c>
      <c r="B14" s="175">
        <v>28.700001</v>
      </c>
      <c r="C14" s="175">
        <v>28.700001</v>
      </c>
      <c r="D14" s="175">
        <v>28.700001</v>
      </c>
      <c r="E14" s="175">
        <v>33.700001</v>
      </c>
      <c r="F14" s="175">
        <v>33.700001</v>
      </c>
      <c r="G14" s="175">
        <v>33.700001</v>
      </c>
      <c r="H14" s="25"/>
      <c r="I14" s="25"/>
      <c r="J14" s="25"/>
      <c r="K14" s="25"/>
      <c r="L14" s="25"/>
      <c r="M14" s="25"/>
      <c r="N14" s="25"/>
      <c r="O14" s="25"/>
      <c r="P14" s="25"/>
      <c r="Q14" s="25"/>
    </row>
    <row r="15" spans="1:19" outlineLevel="4" x14ac:dyDescent="0.3">
      <c r="A15" s="174" t="s">
        <v>64</v>
      </c>
      <c r="B15" s="175">
        <v>46.9</v>
      </c>
      <c r="C15" s="175">
        <v>46.9</v>
      </c>
      <c r="D15" s="175">
        <v>46.9</v>
      </c>
      <c r="E15" s="175">
        <v>46.9</v>
      </c>
      <c r="F15" s="175">
        <v>46.9</v>
      </c>
      <c r="G15" s="175">
        <v>46.9</v>
      </c>
      <c r="H15" s="25"/>
      <c r="I15" s="25"/>
      <c r="J15" s="25"/>
      <c r="K15" s="25"/>
      <c r="L15" s="25"/>
      <c r="M15" s="25"/>
      <c r="N15" s="25"/>
      <c r="O15" s="25"/>
      <c r="P15" s="25"/>
      <c r="Q15" s="25"/>
    </row>
    <row r="16" spans="1:19" outlineLevel="4" x14ac:dyDescent="0.3">
      <c r="A16" s="174" t="s">
        <v>65</v>
      </c>
      <c r="B16" s="175">
        <v>93.438657000000006</v>
      </c>
      <c r="C16" s="175">
        <v>100.278657</v>
      </c>
      <c r="D16" s="175">
        <v>117.101957</v>
      </c>
      <c r="E16" s="175">
        <v>237.101957</v>
      </c>
      <c r="F16" s="175">
        <v>237.101957</v>
      </c>
      <c r="G16" s="175">
        <v>225.503117</v>
      </c>
      <c r="H16" s="25"/>
      <c r="I16" s="25"/>
      <c r="J16" s="25"/>
      <c r="K16" s="25"/>
      <c r="L16" s="25"/>
      <c r="M16" s="25"/>
      <c r="N16" s="25"/>
      <c r="O16" s="25"/>
      <c r="P16" s="25"/>
      <c r="Q16" s="25"/>
    </row>
    <row r="17" spans="1:17" outlineLevel="4" x14ac:dyDescent="0.3">
      <c r="A17" s="174" t="s">
        <v>66</v>
      </c>
      <c r="B17" s="175">
        <v>12.097744</v>
      </c>
      <c r="C17" s="175">
        <v>12.097744</v>
      </c>
      <c r="D17" s="175">
        <v>12.097744</v>
      </c>
      <c r="E17" s="175">
        <v>12.097744</v>
      </c>
      <c r="F17" s="175">
        <v>12.097744</v>
      </c>
      <c r="G17" s="175">
        <v>12.097744</v>
      </c>
      <c r="H17" s="25"/>
      <c r="I17" s="25"/>
      <c r="J17" s="25"/>
      <c r="K17" s="25"/>
      <c r="L17" s="25"/>
      <c r="M17" s="25"/>
      <c r="N17" s="25"/>
      <c r="O17" s="25"/>
      <c r="P17" s="25"/>
      <c r="Q17" s="25"/>
    </row>
    <row r="18" spans="1:17" outlineLevel="4" x14ac:dyDescent="0.3">
      <c r="A18" s="174" t="s">
        <v>67</v>
      </c>
      <c r="B18" s="175">
        <v>12.097744</v>
      </c>
      <c r="C18" s="175">
        <v>12.097744</v>
      </c>
      <c r="D18" s="175">
        <v>12.097744</v>
      </c>
      <c r="E18" s="175">
        <v>27.097743999999999</v>
      </c>
      <c r="F18" s="175">
        <v>27.097743999999999</v>
      </c>
      <c r="G18" s="175">
        <v>27.097743999999999</v>
      </c>
      <c r="H18" s="25"/>
      <c r="I18" s="25"/>
      <c r="J18" s="25"/>
      <c r="K18" s="25"/>
      <c r="L18" s="25"/>
      <c r="M18" s="25"/>
      <c r="N18" s="25"/>
      <c r="O18" s="25"/>
      <c r="P18" s="25"/>
      <c r="Q18" s="25"/>
    </row>
    <row r="19" spans="1:17" outlineLevel="4" x14ac:dyDescent="0.3">
      <c r="A19" s="174" t="s">
        <v>68</v>
      </c>
      <c r="B19" s="175">
        <v>31.401890643400002</v>
      </c>
      <c r="C19" s="175">
        <v>42.233933071199999</v>
      </c>
      <c r="D19" s="175">
        <v>80.791961688200004</v>
      </c>
      <c r="E19" s="175">
        <v>69.614992801400007</v>
      </c>
      <c r="F19" s="175">
        <v>57.311411851499997</v>
      </c>
      <c r="G19" s="175">
        <v>284.818024487</v>
      </c>
      <c r="H19" s="25"/>
      <c r="I19" s="25"/>
      <c r="J19" s="25"/>
      <c r="K19" s="25"/>
      <c r="L19" s="25"/>
      <c r="M19" s="25"/>
      <c r="N19" s="25"/>
      <c r="O19" s="25"/>
      <c r="P19" s="25"/>
      <c r="Q19" s="25"/>
    </row>
    <row r="20" spans="1:17" outlineLevel="4" x14ac:dyDescent="0.3">
      <c r="A20" s="174" t="s">
        <v>69</v>
      </c>
      <c r="B20" s="175">
        <v>12.097744</v>
      </c>
      <c r="C20" s="175">
        <v>12.097744</v>
      </c>
      <c r="D20" s="175">
        <v>12.097744</v>
      </c>
      <c r="E20" s="175">
        <v>12.097744</v>
      </c>
      <c r="F20" s="175">
        <v>12.097744</v>
      </c>
      <c r="G20" s="175">
        <v>12.097744</v>
      </c>
      <c r="H20" s="25"/>
      <c r="I20" s="25"/>
      <c r="J20" s="25"/>
      <c r="K20" s="25"/>
      <c r="L20" s="25"/>
      <c r="M20" s="25"/>
      <c r="N20" s="25"/>
      <c r="O20" s="25"/>
      <c r="P20" s="25"/>
      <c r="Q20" s="25"/>
    </row>
    <row r="21" spans="1:17" outlineLevel="4" x14ac:dyDescent="0.3">
      <c r="A21" s="174" t="s">
        <v>70</v>
      </c>
      <c r="B21" s="175">
        <v>12.097744</v>
      </c>
      <c r="C21" s="175">
        <v>12.097744</v>
      </c>
      <c r="D21" s="175">
        <v>12.097744</v>
      </c>
      <c r="E21" s="175">
        <v>12.097744</v>
      </c>
      <c r="F21" s="175">
        <v>12.097744</v>
      </c>
      <c r="G21" s="175">
        <v>12.097744</v>
      </c>
      <c r="H21" s="25"/>
      <c r="I21" s="25"/>
      <c r="J21" s="25"/>
      <c r="K21" s="25"/>
      <c r="L21" s="25"/>
      <c r="M21" s="25"/>
      <c r="N21" s="25"/>
      <c r="O21" s="25"/>
      <c r="P21" s="25"/>
      <c r="Q21" s="25"/>
    </row>
    <row r="22" spans="1:17" outlineLevel="4" x14ac:dyDescent="0.3">
      <c r="A22" s="174" t="s">
        <v>71</v>
      </c>
      <c r="B22" s="175">
        <v>47.236592873600003</v>
      </c>
      <c r="C22" s="175">
        <v>102.290142528</v>
      </c>
      <c r="D22" s="175">
        <v>61.134827581400003</v>
      </c>
      <c r="E22" s="175">
        <v>60.071426971400001</v>
      </c>
      <c r="F22" s="175">
        <v>192.71749500000001</v>
      </c>
      <c r="G22" s="175">
        <v>285.63223799999997</v>
      </c>
      <c r="H22" s="25"/>
      <c r="I22" s="25"/>
      <c r="J22" s="25"/>
      <c r="K22" s="25"/>
      <c r="L22" s="25"/>
      <c r="M22" s="25"/>
      <c r="N22" s="25"/>
      <c r="O22" s="25"/>
      <c r="P22" s="25"/>
      <c r="Q22" s="25"/>
    </row>
    <row r="23" spans="1:17" outlineLevel="4" x14ac:dyDescent="0.3">
      <c r="A23" s="174" t="s">
        <v>72</v>
      </c>
      <c r="B23" s="175">
        <v>12.097744</v>
      </c>
      <c r="C23" s="175">
        <v>12.097744</v>
      </c>
      <c r="D23" s="175">
        <v>12.097744</v>
      </c>
      <c r="E23" s="175">
        <v>12.097744</v>
      </c>
      <c r="F23" s="175">
        <v>12.097744</v>
      </c>
      <c r="G23" s="175">
        <v>12.097744</v>
      </c>
      <c r="H23" s="25"/>
      <c r="I23" s="25"/>
      <c r="J23" s="25"/>
      <c r="K23" s="25"/>
      <c r="L23" s="25"/>
      <c r="M23" s="25"/>
      <c r="N23" s="25"/>
      <c r="O23" s="25"/>
      <c r="P23" s="25"/>
      <c r="Q23" s="25"/>
    </row>
    <row r="24" spans="1:17" outlineLevel="4" x14ac:dyDescent="0.3">
      <c r="A24" s="174" t="s">
        <v>73</v>
      </c>
      <c r="B24" s="175">
        <v>12.097744</v>
      </c>
      <c r="C24" s="175">
        <v>12.097744</v>
      </c>
      <c r="D24" s="175">
        <v>12.097744</v>
      </c>
      <c r="E24" s="175">
        <v>12.097744</v>
      </c>
      <c r="F24" s="175">
        <v>12.097744</v>
      </c>
      <c r="G24" s="175">
        <v>12.097744</v>
      </c>
      <c r="H24" s="25"/>
      <c r="I24" s="25"/>
      <c r="J24" s="25"/>
      <c r="K24" s="25"/>
      <c r="L24" s="25"/>
      <c r="M24" s="25"/>
      <c r="N24" s="25"/>
      <c r="O24" s="25"/>
      <c r="P24" s="25"/>
      <c r="Q24" s="25"/>
    </row>
    <row r="25" spans="1:17" outlineLevel="4" x14ac:dyDescent="0.3">
      <c r="A25" s="174" t="s">
        <v>74</v>
      </c>
      <c r="B25" s="175">
        <v>12.097744</v>
      </c>
      <c r="C25" s="175">
        <v>12.097744</v>
      </c>
      <c r="D25" s="175">
        <v>12.097744</v>
      </c>
      <c r="E25" s="175">
        <v>12.097744</v>
      </c>
      <c r="F25" s="175">
        <v>12.097744</v>
      </c>
      <c r="G25" s="175">
        <v>12.097744</v>
      </c>
      <c r="H25" s="25"/>
      <c r="I25" s="25"/>
      <c r="J25" s="25"/>
      <c r="K25" s="25"/>
      <c r="L25" s="25"/>
      <c r="M25" s="25"/>
      <c r="N25" s="25"/>
      <c r="O25" s="25"/>
      <c r="P25" s="25"/>
      <c r="Q25" s="25"/>
    </row>
    <row r="26" spans="1:17" outlineLevel="4" x14ac:dyDescent="0.3">
      <c r="A26" s="174" t="s">
        <v>75</v>
      </c>
      <c r="B26" s="175">
        <v>12.097744</v>
      </c>
      <c r="C26" s="175">
        <v>12.097744</v>
      </c>
      <c r="D26" s="175">
        <v>12.097744</v>
      </c>
      <c r="E26" s="175">
        <v>12.097744</v>
      </c>
      <c r="F26" s="175">
        <v>12.097744</v>
      </c>
      <c r="G26" s="175">
        <v>12.097744</v>
      </c>
      <c r="H26" s="25"/>
      <c r="I26" s="25"/>
      <c r="J26" s="25"/>
      <c r="K26" s="25"/>
      <c r="L26" s="25"/>
      <c r="M26" s="25"/>
      <c r="N26" s="25"/>
      <c r="O26" s="25"/>
      <c r="P26" s="25"/>
      <c r="Q26" s="25"/>
    </row>
    <row r="27" spans="1:17" outlineLevel="4" x14ac:dyDescent="0.3">
      <c r="A27" s="174" t="s">
        <v>76</v>
      </c>
      <c r="B27" s="175">
        <v>12.097744</v>
      </c>
      <c r="C27" s="175">
        <v>12.097744</v>
      </c>
      <c r="D27" s="175">
        <v>12.097744</v>
      </c>
      <c r="E27" s="175">
        <v>12.097744</v>
      </c>
      <c r="F27" s="175">
        <v>12.097744</v>
      </c>
      <c r="G27" s="175">
        <v>12.097744</v>
      </c>
      <c r="H27" s="25"/>
      <c r="I27" s="25"/>
      <c r="J27" s="25"/>
      <c r="K27" s="25"/>
      <c r="L27" s="25"/>
      <c r="M27" s="25"/>
      <c r="N27" s="25"/>
      <c r="O27" s="25"/>
      <c r="P27" s="25"/>
      <c r="Q27" s="25"/>
    </row>
    <row r="28" spans="1:17" outlineLevel="4" x14ac:dyDescent="0.3">
      <c r="A28" s="174" t="s">
        <v>77</v>
      </c>
      <c r="B28" s="175">
        <v>12.097744</v>
      </c>
      <c r="C28" s="175">
        <v>12.097744</v>
      </c>
      <c r="D28" s="175">
        <v>12.097744</v>
      </c>
      <c r="E28" s="175">
        <v>12.097744</v>
      </c>
      <c r="F28" s="175">
        <v>12.097744</v>
      </c>
      <c r="G28" s="175">
        <v>12.097744</v>
      </c>
      <c r="H28" s="25"/>
      <c r="I28" s="25"/>
      <c r="J28" s="25"/>
      <c r="K28" s="25"/>
      <c r="L28" s="25"/>
      <c r="M28" s="25"/>
      <c r="N28" s="25"/>
      <c r="O28" s="25"/>
      <c r="P28" s="25"/>
      <c r="Q28" s="25"/>
    </row>
    <row r="29" spans="1:17" outlineLevel="4" x14ac:dyDescent="0.3">
      <c r="A29" s="174" t="s">
        <v>78</v>
      </c>
      <c r="B29" s="175">
        <v>12.097744</v>
      </c>
      <c r="C29" s="175">
        <v>12.097744</v>
      </c>
      <c r="D29" s="175">
        <v>12.097744</v>
      </c>
      <c r="E29" s="175">
        <v>12.097744</v>
      </c>
      <c r="F29" s="175">
        <v>12.097744</v>
      </c>
      <c r="G29" s="175">
        <v>12.097744</v>
      </c>
      <c r="H29" s="25"/>
      <c r="I29" s="25"/>
      <c r="J29" s="25"/>
      <c r="K29" s="25"/>
      <c r="L29" s="25"/>
      <c r="M29" s="25"/>
      <c r="N29" s="25"/>
      <c r="O29" s="25"/>
      <c r="P29" s="25"/>
      <c r="Q29" s="25"/>
    </row>
    <row r="30" spans="1:17" outlineLevel="4" x14ac:dyDescent="0.3">
      <c r="A30" s="174" t="s">
        <v>79</v>
      </c>
      <c r="B30" s="175">
        <v>12.097744</v>
      </c>
      <c r="C30" s="175">
        <v>12.097744</v>
      </c>
      <c r="D30" s="175">
        <v>12.097744</v>
      </c>
      <c r="E30" s="175">
        <v>12.097744</v>
      </c>
      <c r="F30" s="175">
        <v>12.097744</v>
      </c>
      <c r="G30" s="175">
        <v>12.097744</v>
      </c>
      <c r="H30" s="25"/>
      <c r="I30" s="25"/>
      <c r="J30" s="25"/>
      <c r="K30" s="25"/>
      <c r="L30" s="25"/>
      <c r="M30" s="25"/>
      <c r="N30" s="25"/>
      <c r="O30" s="25"/>
      <c r="P30" s="25"/>
      <c r="Q30" s="25"/>
    </row>
    <row r="31" spans="1:17" outlineLevel="4" x14ac:dyDescent="0.3">
      <c r="A31" s="174" t="s">
        <v>80</v>
      </c>
      <c r="B31" s="175">
        <v>12.097744</v>
      </c>
      <c r="C31" s="175">
        <v>12.097744</v>
      </c>
      <c r="D31" s="175">
        <v>12.097744</v>
      </c>
      <c r="E31" s="175">
        <v>12.097744</v>
      </c>
      <c r="F31" s="175">
        <v>12.097744</v>
      </c>
      <c r="G31" s="175">
        <v>12.097744</v>
      </c>
      <c r="H31" s="25"/>
      <c r="I31" s="25"/>
      <c r="J31" s="25"/>
      <c r="K31" s="25"/>
      <c r="L31" s="25"/>
      <c r="M31" s="25"/>
      <c r="N31" s="25"/>
      <c r="O31" s="25"/>
      <c r="P31" s="25"/>
      <c r="Q31" s="25"/>
    </row>
    <row r="32" spans="1:17" outlineLevel="4" x14ac:dyDescent="0.3">
      <c r="A32" s="174" t="s">
        <v>81</v>
      </c>
      <c r="B32" s="175">
        <v>12.097744</v>
      </c>
      <c r="C32" s="175">
        <v>12.097744</v>
      </c>
      <c r="D32" s="175">
        <v>12.097744</v>
      </c>
      <c r="E32" s="175">
        <v>12.097744</v>
      </c>
      <c r="F32" s="175">
        <v>12.097744</v>
      </c>
      <c r="G32" s="175">
        <v>12.097744</v>
      </c>
      <c r="H32" s="25"/>
      <c r="I32" s="25"/>
      <c r="J32" s="25"/>
      <c r="K32" s="25"/>
      <c r="L32" s="25"/>
      <c r="M32" s="25"/>
      <c r="N32" s="25"/>
      <c r="O32" s="25"/>
      <c r="P32" s="25"/>
      <c r="Q32" s="25"/>
    </row>
    <row r="33" spans="1:17" outlineLevel="4" x14ac:dyDescent="0.3">
      <c r="A33" s="174" t="s">
        <v>82</v>
      </c>
      <c r="B33" s="175">
        <v>0</v>
      </c>
      <c r="C33" s="175">
        <v>33.438972800999998</v>
      </c>
      <c r="D33" s="175">
        <v>1.1224285348</v>
      </c>
      <c r="E33" s="175">
        <v>0</v>
      </c>
      <c r="F33" s="175">
        <v>0</v>
      </c>
      <c r="G33" s="175">
        <v>0</v>
      </c>
      <c r="H33" s="25"/>
      <c r="I33" s="25"/>
      <c r="J33" s="25"/>
      <c r="K33" s="25"/>
      <c r="L33" s="25"/>
      <c r="M33" s="25"/>
      <c r="N33" s="25"/>
      <c r="O33" s="25"/>
      <c r="P33" s="25"/>
      <c r="Q33" s="25"/>
    </row>
    <row r="34" spans="1:17" outlineLevel="4" x14ac:dyDescent="0.3">
      <c r="A34" s="174" t="s">
        <v>83</v>
      </c>
      <c r="B34" s="175">
        <v>79.853823193400004</v>
      </c>
      <c r="C34" s="175">
        <v>61.000111877599998</v>
      </c>
      <c r="D34" s="175">
        <v>91.468603000000002</v>
      </c>
      <c r="E34" s="175">
        <v>41.488599000000001</v>
      </c>
      <c r="F34" s="175">
        <v>126.120059</v>
      </c>
      <c r="G34" s="175">
        <v>284.55799400000001</v>
      </c>
      <c r="H34" s="25"/>
      <c r="I34" s="25"/>
      <c r="J34" s="25"/>
      <c r="K34" s="25"/>
      <c r="L34" s="25"/>
      <c r="M34" s="25"/>
      <c r="N34" s="25"/>
      <c r="O34" s="25"/>
      <c r="P34" s="25"/>
      <c r="Q34" s="25"/>
    </row>
    <row r="35" spans="1:17" outlineLevel="4" x14ac:dyDescent="0.3">
      <c r="A35" s="174" t="s">
        <v>84</v>
      </c>
      <c r="B35" s="175">
        <v>12.097751000000001</v>
      </c>
      <c r="C35" s="175">
        <v>12.097751000000001</v>
      </c>
      <c r="D35" s="175">
        <v>12.097751000000001</v>
      </c>
      <c r="E35" s="175">
        <v>257.09775100000002</v>
      </c>
      <c r="F35" s="175">
        <v>257.09775100000002</v>
      </c>
      <c r="G35" s="175">
        <v>257.09775100000002</v>
      </c>
      <c r="H35" s="25"/>
      <c r="I35" s="25"/>
      <c r="J35" s="25"/>
      <c r="K35" s="25"/>
      <c r="L35" s="25"/>
      <c r="M35" s="25"/>
      <c r="N35" s="25"/>
      <c r="O35" s="25"/>
      <c r="P35" s="25"/>
      <c r="Q35" s="25"/>
    </row>
    <row r="36" spans="1:17" outlineLevel="4" x14ac:dyDescent="0.3">
      <c r="A36" s="174" t="s">
        <v>85</v>
      </c>
      <c r="B36" s="175">
        <v>7.03</v>
      </c>
      <c r="C36" s="175">
        <v>18.918331999999999</v>
      </c>
      <c r="D36" s="175">
        <v>42.151356999999997</v>
      </c>
      <c r="E36" s="175">
        <v>49.921956999999999</v>
      </c>
      <c r="F36" s="175">
        <v>22.5396</v>
      </c>
      <c r="G36" s="175">
        <v>16.191801000000002</v>
      </c>
      <c r="H36" s="25"/>
      <c r="I36" s="25"/>
      <c r="J36" s="25"/>
      <c r="K36" s="25"/>
      <c r="L36" s="25"/>
      <c r="M36" s="25"/>
      <c r="N36" s="25"/>
      <c r="O36" s="25"/>
      <c r="P36" s="25"/>
      <c r="Q36" s="25"/>
    </row>
    <row r="37" spans="1:17" outlineLevel="4" x14ac:dyDescent="0.3">
      <c r="A37" s="174" t="s">
        <v>86</v>
      </c>
      <c r="B37" s="175">
        <v>46.557594000000002</v>
      </c>
      <c r="C37" s="175">
        <v>57.979410999999999</v>
      </c>
      <c r="D37" s="175">
        <v>51.468836000000003</v>
      </c>
      <c r="E37" s="175">
        <v>67.473926000000006</v>
      </c>
      <c r="F37" s="175">
        <v>41.069235999999997</v>
      </c>
      <c r="G37" s="175">
        <v>46.069235999999997</v>
      </c>
      <c r="H37" s="25"/>
      <c r="I37" s="25"/>
      <c r="J37" s="25"/>
      <c r="K37" s="25"/>
      <c r="L37" s="25"/>
      <c r="M37" s="25"/>
      <c r="N37" s="25"/>
      <c r="O37" s="25"/>
      <c r="P37" s="25"/>
      <c r="Q37" s="25"/>
    </row>
    <row r="38" spans="1:17" outlineLevel="4" x14ac:dyDescent="0.3">
      <c r="A38" s="174" t="s">
        <v>87</v>
      </c>
      <c r="B38" s="175">
        <v>0</v>
      </c>
      <c r="C38" s="175">
        <v>11.184692</v>
      </c>
      <c r="D38" s="175">
        <v>26.571145999999999</v>
      </c>
      <c r="E38" s="175">
        <v>46.997578392000001</v>
      </c>
      <c r="F38" s="175">
        <v>0</v>
      </c>
      <c r="G38" s="175">
        <v>0</v>
      </c>
      <c r="H38" s="25"/>
      <c r="I38" s="25"/>
      <c r="J38" s="25"/>
      <c r="K38" s="25"/>
      <c r="L38" s="25"/>
      <c r="M38" s="25"/>
      <c r="N38" s="25"/>
      <c r="O38" s="25"/>
      <c r="P38" s="25"/>
      <c r="Q38" s="25"/>
    </row>
    <row r="39" spans="1:17" outlineLevel="4" x14ac:dyDescent="0.3">
      <c r="A39" s="174" t="s">
        <v>88</v>
      </c>
      <c r="B39" s="175">
        <v>39.665255999999999</v>
      </c>
      <c r="C39" s="175">
        <v>46.880406999999998</v>
      </c>
      <c r="D39" s="175">
        <v>41.080407000000001</v>
      </c>
      <c r="E39" s="175">
        <v>41.080407000000001</v>
      </c>
      <c r="F39" s="175">
        <v>41.080407000000001</v>
      </c>
      <c r="G39" s="175">
        <v>41.080407000000001</v>
      </c>
      <c r="H39" s="25"/>
      <c r="I39" s="25"/>
      <c r="J39" s="25"/>
      <c r="K39" s="25"/>
      <c r="L39" s="25"/>
      <c r="M39" s="25"/>
      <c r="N39" s="25"/>
      <c r="O39" s="25"/>
      <c r="P39" s="25"/>
      <c r="Q39" s="25"/>
    </row>
    <row r="40" spans="1:17" outlineLevel="4" x14ac:dyDescent="0.3">
      <c r="A40" s="174" t="s">
        <v>89</v>
      </c>
      <c r="B40" s="175">
        <v>23.602312000000001</v>
      </c>
      <c r="C40" s="175">
        <v>17.245816000000001</v>
      </c>
      <c r="D40" s="175">
        <v>23.968738999999999</v>
      </c>
      <c r="E40" s="175">
        <v>21.481691000000001</v>
      </c>
      <c r="F40" s="175">
        <v>17.781690999999999</v>
      </c>
      <c r="G40" s="175">
        <v>17.781690999999999</v>
      </c>
      <c r="H40" s="25"/>
      <c r="I40" s="25"/>
      <c r="J40" s="25"/>
      <c r="K40" s="25"/>
      <c r="L40" s="25"/>
      <c r="M40" s="25"/>
      <c r="N40" s="25"/>
      <c r="O40" s="25"/>
      <c r="P40" s="25"/>
      <c r="Q40" s="25"/>
    </row>
    <row r="41" spans="1:17" outlineLevel="4" x14ac:dyDescent="0.3">
      <c r="A41" s="174" t="s">
        <v>90</v>
      </c>
      <c r="B41" s="175">
        <v>17.5</v>
      </c>
      <c r="C41" s="175">
        <v>17.5</v>
      </c>
      <c r="D41" s="175">
        <v>17.5</v>
      </c>
      <c r="E41" s="175">
        <v>10</v>
      </c>
      <c r="F41" s="175">
        <v>2.5</v>
      </c>
      <c r="G41" s="175">
        <v>2.5</v>
      </c>
      <c r="H41" s="25"/>
      <c r="I41" s="25"/>
      <c r="J41" s="25"/>
      <c r="K41" s="25"/>
      <c r="L41" s="25"/>
      <c r="M41" s="25"/>
      <c r="N41" s="25"/>
      <c r="O41" s="25"/>
      <c r="P41" s="25"/>
      <c r="Q41" s="25"/>
    </row>
    <row r="42" spans="1:17" outlineLevel="4" x14ac:dyDescent="0.3">
      <c r="A42" s="174" t="s">
        <v>91</v>
      </c>
      <c r="B42" s="175">
        <v>0</v>
      </c>
      <c r="C42" s="175">
        <v>31.776369563999999</v>
      </c>
      <c r="D42" s="175">
        <v>0</v>
      </c>
      <c r="E42" s="175">
        <v>0</v>
      </c>
      <c r="F42" s="175">
        <v>45.625538052300001</v>
      </c>
      <c r="G42" s="175">
        <v>0</v>
      </c>
      <c r="H42" s="25"/>
      <c r="I42" s="25"/>
      <c r="J42" s="25"/>
      <c r="K42" s="25"/>
      <c r="L42" s="25"/>
      <c r="M42" s="25"/>
      <c r="N42" s="25"/>
      <c r="O42" s="25"/>
      <c r="P42" s="25"/>
      <c r="Q42" s="25"/>
    </row>
    <row r="43" spans="1:17" outlineLevel="4" x14ac:dyDescent="0.3">
      <c r="A43" s="174" t="s">
        <v>92</v>
      </c>
      <c r="B43" s="175">
        <v>18</v>
      </c>
      <c r="C43" s="175">
        <v>18</v>
      </c>
      <c r="D43" s="175">
        <v>18</v>
      </c>
      <c r="E43" s="175">
        <v>18</v>
      </c>
      <c r="F43" s="175">
        <v>13</v>
      </c>
      <c r="G43" s="175">
        <v>5.5</v>
      </c>
      <c r="H43" s="25"/>
      <c r="I43" s="25"/>
      <c r="J43" s="25"/>
      <c r="K43" s="25"/>
      <c r="L43" s="25"/>
      <c r="M43" s="25"/>
      <c r="N43" s="25"/>
      <c r="O43" s="25"/>
      <c r="P43" s="25"/>
      <c r="Q43" s="25"/>
    </row>
    <row r="44" spans="1:17" outlineLevel="3" x14ac:dyDescent="0.3">
      <c r="A44" s="176" t="s">
        <v>93</v>
      </c>
      <c r="B44" s="175">
        <f t="shared" ref="B44:G44" si="4">SUM(B$45:B$45)</f>
        <v>2.11604036018</v>
      </c>
      <c r="C44" s="175">
        <f t="shared" si="4"/>
        <v>1.9837878377</v>
      </c>
      <c r="D44" s="175">
        <f t="shared" si="4"/>
        <v>1.85153531522</v>
      </c>
      <c r="E44" s="175">
        <f t="shared" si="4"/>
        <v>1.7192827927400001</v>
      </c>
      <c r="F44" s="175">
        <f t="shared" si="4"/>
        <v>1.5870302702600001</v>
      </c>
      <c r="G44" s="175">
        <f t="shared" si="4"/>
        <v>1.4547777477799999</v>
      </c>
      <c r="H44" s="25"/>
      <c r="I44" s="25"/>
      <c r="J44" s="25"/>
      <c r="K44" s="25"/>
      <c r="L44" s="25"/>
      <c r="M44" s="25"/>
      <c r="N44" s="25"/>
      <c r="O44" s="25"/>
      <c r="P44" s="25"/>
      <c r="Q44" s="25"/>
    </row>
    <row r="45" spans="1:17" outlineLevel="4" x14ac:dyDescent="0.3">
      <c r="A45" s="174" t="s">
        <v>94</v>
      </c>
      <c r="B45" s="175">
        <v>2.11604036018</v>
      </c>
      <c r="C45" s="175">
        <v>1.9837878377</v>
      </c>
      <c r="D45" s="175">
        <v>1.85153531522</v>
      </c>
      <c r="E45" s="175">
        <v>1.7192827927400001</v>
      </c>
      <c r="F45" s="175">
        <v>1.5870302702600001</v>
      </c>
      <c r="G45" s="175">
        <v>1.4547777477799999</v>
      </c>
      <c r="H45" s="25"/>
      <c r="I45" s="25"/>
      <c r="J45" s="25"/>
      <c r="K45" s="25"/>
      <c r="L45" s="25"/>
      <c r="M45" s="25"/>
      <c r="N45" s="25"/>
      <c r="O45" s="25"/>
      <c r="P45" s="25"/>
      <c r="Q45" s="25"/>
    </row>
    <row r="46" spans="1:17" ht="14.5" outlineLevel="2" x14ac:dyDescent="0.35">
      <c r="A46" s="185" t="s">
        <v>95</v>
      </c>
      <c r="B46" s="186">
        <f t="shared" ref="B46:G46" si="5">B$47+B$57+B$68+B$70+B$77+B$86+B$88</f>
        <v>931.87402666849005</v>
      </c>
      <c r="C46" s="186">
        <f t="shared" si="5"/>
        <v>1258.5216249367199</v>
      </c>
      <c r="D46" s="186">
        <f t="shared" si="5"/>
        <v>1300.1611160073699</v>
      </c>
      <c r="E46" s="186">
        <f t="shared" si="5"/>
        <v>2325.4433794111501</v>
      </c>
      <c r="F46" s="186">
        <f t="shared" si="5"/>
        <v>3600.3931568676699</v>
      </c>
      <c r="G46" s="186">
        <f t="shared" si="5"/>
        <v>4829.2907880136017</v>
      </c>
      <c r="H46" s="25"/>
      <c r="I46" s="25"/>
      <c r="J46" s="25"/>
      <c r="K46" s="25"/>
      <c r="L46" s="25"/>
      <c r="M46" s="25"/>
      <c r="N46" s="25"/>
      <c r="O46" s="25"/>
      <c r="P46" s="25"/>
      <c r="Q46" s="25"/>
    </row>
    <row r="47" spans="1:17" outlineLevel="3" x14ac:dyDescent="0.3">
      <c r="A47" s="176" t="s">
        <v>96</v>
      </c>
      <c r="B47" s="175">
        <f t="shared" ref="B47:G47" si="6">SUM(B$48:B$56)</f>
        <v>292.19705520395001</v>
      </c>
      <c r="C47" s="175">
        <f t="shared" si="6"/>
        <v>443.31220499020998</v>
      </c>
      <c r="D47" s="175">
        <f t="shared" si="6"/>
        <v>463.16791086648999</v>
      </c>
      <c r="E47" s="175">
        <f t="shared" si="6"/>
        <v>1100.2564081594501</v>
      </c>
      <c r="F47" s="175">
        <f t="shared" si="6"/>
        <v>2252.5797122582303</v>
      </c>
      <c r="G47" s="175">
        <f t="shared" si="6"/>
        <v>3481.9848215421307</v>
      </c>
      <c r="H47" s="25"/>
      <c r="I47" s="25"/>
      <c r="J47" s="25"/>
      <c r="K47" s="25"/>
      <c r="L47" s="25"/>
      <c r="M47" s="25"/>
      <c r="N47" s="25"/>
      <c r="O47" s="25"/>
      <c r="P47" s="25"/>
      <c r="Q47" s="25"/>
    </row>
    <row r="48" spans="1:17" outlineLevel="4" x14ac:dyDescent="0.3">
      <c r="A48" s="174" t="s">
        <v>97</v>
      </c>
      <c r="B48" s="175">
        <v>0</v>
      </c>
      <c r="C48" s="175">
        <v>0</v>
      </c>
      <c r="D48" s="175">
        <v>6.1845200000000003E-2</v>
      </c>
      <c r="E48" s="175">
        <v>7.7901999999999999E-2</v>
      </c>
      <c r="F48" s="175">
        <v>0.25340819184000002</v>
      </c>
      <c r="G48" s="175">
        <v>0.48186126030999998</v>
      </c>
      <c r="H48" s="25"/>
      <c r="I48" s="25"/>
      <c r="J48" s="25"/>
      <c r="K48" s="25"/>
      <c r="L48" s="25"/>
      <c r="M48" s="25"/>
      <c r="N48" s="25"/>
      <c r="O48" s="25"/>
      <c r="P48" s="25"/>
      <c r="Q48" s="25"/>
    </row>
    <row r="49" spans="1:17" outlineLevel="4" x14ac:dyDescent="0.3">
      <c r="A49" s="174" t="s">
        <v>98</v>
      </c>
      <c r="B49" s="175">
        <v>0</v>
      </c>
      <c r="C49" s="175">
        <v>0</v>
      </c>
      <c r="D49" s="175">
        <v>0</v>
      </c>
      <c r="E49" s="175">
        <v>0</v>
      </c>
      <c r="F49" s="175">
        <v>0</v>
      </c>
      <c r="G49" s="175">
        <v>5.08672720701</v>
      </c>
      <c r="H49" s="25"/>
      <c r="I49" s="25"/>
      <c r="J49" s="25"/>
      <c r="K49" s="25"/>
      <c r="L49" s="25"/>
      <c r="M49" s="25"/>
      <c r="N49" s="25"/>
      <c r="O49" s="25"/>
      <c r="P49" s="25"/>
      <c r="Q49" s="25"/>
    </row>
    <row r="50" spans="1:17" outlineLevel="4" x14ac:dyDescent="0.3">
      <c r="A50" s="174" t="s">
        <v>99</v>
      </c>
      <c r="B50" s="175">
        <v>11.9812827548</v>
      </c>
      <c r="C50" s="175">
        <v>13.69347224048</v>
      </c>
      <c r="D50" s="175">
        <v>10.537976948860001</v>
      </c>
      <c r="E50" s="175">
        <v>9.4549938057599991</v>
      </c>
      <c r="F50" s="175">
        <v>7.3589337960099996</v>
      </c>
      <c r="G50" s="175">
        <v>4.2521896911699999</v>
      </c>
      <c r="H50" s="25"/>
      <c r="I50" s="25"/>
      <c r="J50" s="25"/>
      <c r="K50" s="25"/>
      <c r="L50" s="25"/>
      <c r="M50" s="25"/>
      <c r="N50" s="25"/>
      <c r="O50" s="25"/>
      <c r="P50" s="25"/>
      <c r="Q50" s="25"/>
    </row>
    <row r="51" spans="1:17" outlineLevel="4" x14ac:dyDescent="0.3">
      <c r="A51" s="174" t="s">
        <v>100</v>
      </c>
      <c r="B51" s="175">
        <v>18.590715185450001</v>
      </c>
      <c r="C51" s="175">
        <v>26.985065628059999</v>
      </c>
      <c r="D51" s="175">
        <v>27.704960040149999</v>
      </c>
      <c r="E51" s="175">
        <v>98.126692472870005</v>
      </c>
      <c r="F51" s="175">
        <v>115.07812630904</v>
      </c>
      <c r="G51" s="175">
        <v>124.11142454661</v>
      </c>
      <c r="H51" s="25"/>
      <c r="I51" s="25"/>
      <c r="J51" s="25"/>
      <c r="K51" s="25"/>
      <c r="L51" s="25"/>
      <c r="M51" s="25"/>
      <c r="N51" s="25"/>
      <c r="O51" s="25"/>
      <c r="P51" s="25"/>
      <c r="Q51" s="25"/>
    </row>
    <row r="52" spans="1:17" outlineLevel="4" x14ac:dyDescent="0.3">
      <c r="A52" s="174" t="s">
        <v>101</v>
      </c>
      <c r="B52" s="175">
        <v>87.456819999999993</v>
      </c>
      <c r="C52" s="175">
        <v>132.357876</v>
      </c>
      <c r="D52" s="175">
        <v>136.36866599999999</v>
      </c>
      <c r="E52" s="175">
        <v>452.22111000000001</v>
      </c>
      <c r="F52" s="175">
        <v>1249.7759189999999</v>
      </c>
      <c r="G52" s="175">
        <v>1850.2552231591901</v>
      </c>
      <c r="H52" s="25"/>
      <c r="I52" s="25"/>
      <c r="J52" s="25"/>
      <c r="K52" s="25"/>
      <c r="L52" s="25"/>
      <c r="M52" s="25"/>
      <c r="N52" s="25"/>
      <c r="O52" s="25"/>
      <c r="P52" s="25"/>
      <c r="Q52" s="25"/>
    </row>
    <row r="53" spans="1:17" outlineLevel="4" x14ac:dyDescent="0.3">
      <c r="A53" s="174" t="s">
        <v>102</v>
      </c>
      <c r="B53" s="175">
        <v>0</v>
      </c>
      <c r="C53" s="175">
        <v>0</v>
      </c>
      <c r="D53" s="175">
        <v>0</v>
      </c>
      <c r="E53" s="175">
        <v>21.085527195080001</v>
      </c>
      <c r="F53" s="175">
        <v>39.914098248590001</v>
      </c>
      <c r="G53" s="175">
        <v>243.40981073539001</v>
      </c>
      <c r="H53" s="25"/>
      <c r="I53" s="25"/>
      <c r="J53" s="25"/>
      <c r="K53" s="25"/>
      <c r="L53" s="25"/>
      <c r="M53" s="25"/>
      <c r="N53" s="25"/>
      <c r="O53" s="25"/>
      <c r="P53" s="25"/>
      <c r="Q53" s="25"/>
    </row>
    <row r="54" spans="1:17" outlineLevel="4" x14ac:dyDescent="0.3">
      <c r="A54" s="174" t="s">
        <v>103</v>
      </c>
      <c r="B54" s="175">
        <v>116.13319515038</v>
      </c>
      <c r="C54" s="175">
        <v>149.66078664104</v>
      </c>
      <c r="D54" s="175">
        <v>167.90406736776001</v>
      </c>
      <c r="E54" s="175">
        <v>282.38035135726</v>
      </c>
      <c r="F54" s="175">
        <v>455.94914315625999</v>
      </c>
      <c r="G54" s="175">
        <v>679.98849281046</v>
      </c>
      <c r="H54" s="25"/>
      <c r="I54" s="25"/>
      <c r="J54" s="25"/>
      <c r="K54" s="25"/>
      <c r="L54" s="25"/>
      <c r="M54" s="25"/>
      <c r="N54" s="25"/>
      <c r="O54" s="25"/>
      <c r="P54" s="25"/>
      <c r="Q54" s="25"/>
    </row>
    <row r="55" spans="1:17" outlineLevel="4" x14ac:dyDescent="0.3">
      <c r="A55" s="174" t="s">
        <v>104</v>
      </c>
      <c r="B55" s="175">
        <v>57.493439262499997</v>
      </c>
      <c r="C55" s="175">
        <v>119.56959310429001</v>
      </c>
      <c r="D55" s="175">
        <v>119.00280760606</v>
      </c>
      <c r="E55" s="175">
        <v>234.07269763165999</v>
      </c>
      <c r="F55" s="175">
        <v>379.91330392216003</v>
      </c>
      <c r="G55" s="175">
        <v>569.59844089061005</v>
      </c>
      <c r="H55" s="25"/>
      <c r="I55" s="25"/>
      <c r="J55" s="25"/>
      <c r="K55" s="25"/>
      <c r="L55" s="25"/>
      <c r="M55" s="25"/>
      <c r="N55" s="25"/>
      <c r="O55" s="25"/>
      <c r="P55" s="25"/>
      <c r="Q55" s="25"/>
    </row>
    <row r="56" spans="1:17" outlineLevel="4" x14ac:dyDescent="0.3">
      <c r="A56" s="174" t="s">
        <v>105</v>
      </c>
      <c r="B56" s="175">
        <v>0.54160285082000004</v>
      </c>
      <c r="C56" s="175">
        <v>1.0454113763399999</v>
      </c>
      <c r="D56" s="175">
        <v>1.5875877036599999</v>
      </c>
      <c r="E56" s="175">
        <v>2.8371336968200001</v>
      </c>
      <c r="F56" s="175">
        <v>4.33677963433</v>
      </c>
      <c r="G56" s="175">
        <v>4.8006512413799998</v>
      </c>
      <c r="H56" s="25"/>
      <c r="I56" s="25"/>
      <c r="J56" s="25"/>
      <c r="K56" s="25"/>
      <c r="L56" s="25"/>
      <c r="M56" s="25"/>
      <c r="N56" s="25"/>
      <c r="O56" s="25"/>
      <c r="P56" s="25"/>
      <c r="Q56" s="25"/>
    </row>
    <row r="57" spans="1:17" outlineLevel="3" x14ac:dyDescent="0.3">
      <c r="A57" s="176" t="s">
        <v>106</v>
      </c>
      <c r="B57" s="175">
        <f t="shared" ref="B57:G57" si="7">SUM(B$58:B$67)</f>
        <v>24.236838598479999</v>
      </c>
      <c r="C57" s="175">
        <f t="shared" si="7"/>
        <v>26.766260647389998</v>
      </c>
      <c r="D57" s="175">
        <f t="shared" si="7"/>
        <v>24.223503565430001</v>
      </c>
      <c r="E57" s="175">
        <f t="shared" si="7"/>
        <v>160.50546788984002</v>
      </c>
      <c r="F57" s="175">
        <f t="shared" si="7"/>
        <v>239.95764692871998</v>
      </c>
      <c r="G57" s="175">
        <f t="shared" si="7"/>
        <v>320.72300290085008</v>
      </c>
      <c r="H57" s="25"/>
      <c r="I57" s="25"/>
      <c r="J57" s="25"/>
      <c r="K57" s="25"/>
      <c r="L57" s="25"/>
      <c r="M57" s="25"/>
      <c r="N57" s="25"/>
      <c r="O57" s="25"/>
      <c r="P57" s="25"/>
      <c r="Q57" s="25"/>
    </row>
    <row r="58" spans="1:17" outlineLevel="4" x14ac:dyDescent="0.3">
      <c r="A58" s="174" t="s">
        <v>107</v>
      </c>
      <c r="B58" s="175">
        <v>0</v>
      </c>
      <c r="C58" s="175">
        <v>0</v>
      </c>
      <c r="D58" s="175">
        <v>0.55899540264000003</v>
      </c>
      <c r="E58" s="175">
        <v>0.80847284054000002</v>
      </c>
      <c r="F58" s="175">
        <v>0.89084539944999996</v>
      </c>
      <c r="G58" s="175">
        <v>0.972743951</v>
      </c>
      <c r="H58" s="25"/>
      <c r="I58" s="25"/>
      <c r="J58" s="25"/>
      <c r="K58" s="25"/>
      <c r="L58" s="25"/>
      <c r="M58" s="25"/>
      <c r="N58" s="25"/>
      <c r="O58" s="25"/>
      <c r="P58" s="25"/>
      <c r="Q58" s="25"/>
    </row>
    <row r="59" spans="1:17" outlineLevel="4" x14ac:dyDescent="0.3">
      <c r="A59" s="174" t="s">
        <v>108</v>
      </c>
      <c r="B59" s="175">
        <v>0</v>
      </c>
      <c r="C59" s="175">
        <v>0</v>
      </c>
      <c r="D59" s="175">
        <v>0</v>
      </c>
      <c r="E59" s="175">
        <v>7.7901999999999996</v>
      </c>
      <c r="F59" s="175">
        <v>8.4415800000000001</v>
      </c>
      <c r="G59" s="175">
        <v>8.7853200000000005</v>
      </c>
      <c r="H59" s="25"/>
      <c r="I59" s="25"/>
      <c r="J59" s="25"/>
      <c r="K59" s="25"/>
      <c r="L59" s="25"/>
      <c r="M59" s="25"/>
      <c r="N59" s="25"/>
      <c r="O59" s="25"/>
      <c r="P59" s="25"/>
      <c r="Q59" s="25"/>
    </row>
    <row r="60" spans="1:17" outlineLevel="4" x14ac:dyDescent="0.3">
      <c r="A60" s="174" t="s">
        <v>109</v>
      </c>
      <c r="B60" s="175">
        <v>3.6202200000000002</v>
      </c>
      <c r="C60" s="175">
        <v>0</v>
      </c>
      <c r="D60" s="175">
        <v>0</v>
      </c>
      <c r="E60" s="175">
        <v>66.835792851359997</v>
      </c>
      <c r="F60" s="175">
        <v>139.85243126616001</v>
      </c>
      <c r="G60" s="175">
        <v>213.75542670784</v>
      </c>
      <c r="H60" s="25"/>
      <c r="I60" s="25"/>
      <c r="J60" s="25"/>
      <c r="K60" s="25"/>
      <c r="L60" s="25"/>
      <c r="M60" s="25"/>
      <c r="N60" s="25"/>
      <c r="O60" s="25"/>
      <c r="P60" s="25"/>
      <c r="Q60" s="25"/>
    </row>
    <row r="61" spans="1:17" outlineLevel="4" x14ac:dyDescent="0.3">
      <c r="A61" s="174" t="s">
        <v>110</v>
      </c>
      <c r="B61" s="175">
        <v>0</v>
      </c>
      <c r="C61" s="175">
        <v>0</v>
      </c>
      <c r="D61" s="175">
        <v>0</v>
      </c>
      <c r="E61" s="175">
        <v>7.7901999999999996</v>
      </c>
      <c r="F61" s="175">
        <v>8.4415800000000001</v>
      </c>
      <c r="G61" s="175">
        <v>8.7853200000000005</v>
      </c>
      <c r="H61" s="25"/>
      <c r="I61" s="25"/>
      <c r="J61" s="25"/>
      <c r="K61" s="25"/>
      <c r="L61" s="25"/>
      <c r="M61" s="25"/>
      <c r="N61" s="25"/>
      <c r="O61" s="25"/>
      <c r="P61" s="25"/>
      <c r="Q61" s="25"/>
    </row>
    <row r="62" spans="1:17" outlineLevel="4" x14ac:dyDescent="0.3">
      <c r="A62" s="174" t="s">
        <v>111</v>
      </c>
      <c r="B62" s="175">
        <v>6.4320433100400001</v>
      </c>
      <c r="C62" s="175">
        <v>8.9906458514699992</v>
      </c>
      <c r="D62" s="175">
        <v>7.8206807494600001</v>
      </c>
      <c r="E62" s="175">
        <v>21.460113920649999</v>
      </c>
      <c r="F62" s="175">
        <v>23.719138560360001</v>
      </c>
      <c r="G62" s="175">
        <v>24.695561359159999</v>
      </c>
      <c r="H62" s="25"/>
      <c r="I62" s="25"/>
      <c r="J62" s="25"/>
      <c r="K62" s="25"/>
      <c r="L62" s="25"/>
      <c r="M62" s="25"/>
      <c r="N62" s="25"/>
      <c r="O62" s="25"/>
      <c r="P62" s="25"/>
      <c r="Q62" s="25"/>
    </row>
    <row r="63" spans="1:17" outlineLevel="4" x14ac:dyDescent="0.3">
      <c r="A63" s="174" t="s">
        <v>112</v>
      </c>
      <c r="B63" s="175">
        <v>0.15374539101000001</v>
      </c>
      <c r="C63" s="175">
        <v>0.40721180357999998</v>
      </c>
      <c r="D63" s="175">
        <v>1.1414699260300001</v>
      </c>
      <c r="E63" s="175">
        <v>1.94019993968</v>
      </c>
      <c r="F63" s="175">
        <v>3.6823600697400001</v>
      </c>
      <c r="G63" s="175">
        <v>4.3628869331200004</v>
      </c>
      <c r="H63" s="25"/>
      <c r="I63" s="25"/>
      <c r="J63" s="25"/>
      <c r="K63" s="25"/>
      <c r="L63" s="25"/>
      <c r="M63" s="25"/>
      <c r="N63" s="25"/>
      <c r="O63" s="25"/>
      <c r="P63" s="25"/>
      <c r="Q63" s="25"/>
    </row>
    <row r="64" spans="1:17" outlineLevel="4" x14ac:dyDescent="0.3">
      <c r="A64" s="174" t="s">
        <v>113</v>
      </c>
      <c r="B64" s="175">
        <v>0</v>
      </c>
      <c r="C64" s="175">
        <v>0</v>
      </c>
      <c r="D64" s="175">
        <v>0</v>
      </c>
      <c r="E64" s="175">
        <v>0</v>
      </c>
      <c r="F64" s="175">
        <v>0</v>
      </c>
      <c r="G64" s="175">
        <v>4.2039</v>
      </c>
      <c r="H64" s="25"/>
      <c r="I64" s="25"/>
      <c r="J64" s="25"/>
      <c r="K64" s="25"/>
      <c r="L64" s="25"/>
      <c r="M64" s="25"/>
      <c r="N64" s="25"/>
      <c r="O64" s="25"/>
      <c r="P64" s="25"/>
      <c r="Q64" s="25"/>
    </row>
    <row r="65" spans="1:17" outlineLevel="4" x14ac:dyDescent="0.3">
      <c r="A65" s="174" t="s">
        <v>114</v>
      </c>
      <c r="B65" s="175">
        <v>7.8694291629999996E-2</v>
      </c>
      <c r="C65" s="175">
        <v>5.364996859E-2</v>
      </c>
      <c r="D65" s="175">
        <v>1.2890436159999999E-2</v>
      </c>
      <c r="E65" s="175">
        <v>1.7280656490000001E-2</v>
      </c>
      <c r="F65" s="175">
        <v>1.7948754040000001E-2</v>
      </c>
      <c r="G65" s="175">
        <v>2.1545629019999998E-2</v>
      </c>
      <c r="H65" s="25"/>
      <c r="I65" s="25"/>
      <c r="J65" s="25"/>
      <c r="K65" s="25"/>
      <c r="L65" s="25"/>
      <c r="M65" s="25"/>
      <c r="N65" s="25"/>
      <c r="O65" s="25"/>
      <c r="P65" s="25"/>
      <c r="Q65" s="25"/>
    </row>
    <row r="66" spans="1:17" outlineLevel="4" x14ac:dyDescent="0.3">
      <c r="A66" s="174" t="s">
        <v>115</v>
      </c>
      <c r="B66" s="175">
        <v>0.58780514750000001</v>
      </c>
      <c r="C66" s="175">
        <v>0.78617442469999999</v>
      </c>
      <c r="D66" s="175">
        <v>1.08277249519</v>
      </c>
      <c r="E66" s="175">
        <v>17.370752550180001</v>
      </c>
      <c r="F66" s="175">
        <v>18.97010688824</v>
      </c>
      <c r="G66" s="175">
        <v>19.550736922790001</v>
      </c>
      <c r="H66" s="25"/>
      <c r="I66" s="25"/>
      <c r="J66" s="25"/>
      <c r="K66" s="25"/>
      <c r="L66" s="25"/>
      <c r="M66" s="25"/>
      <c r="N66" s="25"/>
      <c r="O66" s="25"/>
      <c r="P66" s="25"/>
      <c r="Q66" s="25"/>
    </row>
    <row r="67" spans="1:17" outlineLevel="4" x14ac:dyDescent="0.3">
      <c r="A67" s="174" t="s">
        <v>116</v>
      </c>
      <c r="B67" s="175">
        <v>13.3643304583</v>
      </c>
      <c r="C67" s="175">
        <v>16.52857859905</v>
      </c>
      <c r="D67" s="175">
        <v>13.60669455595</v>
      </c>
      <c r="E67" s="175">
        <v>36.492455130940002</v>
      </c>
      <c r="F67" s="175">
        <v>35.941655990729998</v>
      </c>
      <c r="G67" s="175">
        <v>35.589561397920001</v>
      </c>
      <c r="H67" s="25"/>
      <c r="I67" s="25"/>
      <c r="J67" s="25"/>
      <c r="K67" s="25"/>
      <c r="L67" s="25"/>
      <c r="M67" s="25"/>
      <c r="N67" s="25"/>
      <c r="O67" s="25"/>
      <c r="P67" s="25"/>
      <c r="Q67" s="25"/>
    </row>
    <row r="68" spans="1:17" outlineLevel="3" x14ac:dyDescent="0.3">
      <c r="A68" s="176" t="s">
        <v>117</v>
      </c>
      <c r="B68" s="175">
        <f t="shared" ref="B68:G68" si="8">SUM(B$69:B$69)</f>
        <v>14.350423071130001</v>
      </c>
      <c r="C68" s="175">
        <f t="shared" si="8"/>
        <v>17.13033209916</v>
      </c>
      <c r="D68" s="175">
        <f t="shared" si="8"/>
        <v>16.526657320249999</v>
      </c>
      <c r="E68" s="175">
        <f t="shared" si="8"/>
        <v>22.155300602000001</v>
      </c>
      <c r="F68" s="175">
        <f t="shared" si="8"/>
        <v>23.011859616860001</v>
      </c>
      <c r="G68" s="175">
        <f t="shared" si="8"/>
        <v>25.469574498539998</v>
      </c>
      <c r="H68" s="25"/>
      <c r="I68" s="25"/>
      <c r="J68" s="25"/>
      <c r="K68" s="25"/>
      <c r="L68" s="25"/>
      <c r="M68" s="25"/>
      <c r="N68" s="25"/>
      <c r="O68" s="25"/>
      <c r="P68" s="25"/>
      <c r="Q68" s="25"/>
    </row>
    <row r="69" spans="1:17" outlineLevel="4" x14ac:dyDescent="0.3">
      <c r="A69" s="174" t="s">
        <v>118</v>
      </c>
      <c r="B69" s="175">
        <v>14.350423071130001</v>
      </c>
      <c r="C69" s="175">
        <v>17.13033209916</v>
      </c>
      <c r="D69" s="175">
        <v>16.526657320249999</v>
      </c>
      <c r="E69" s="175">
        <v>22.155300602000001</v>
      </c>
      <c r="F69" s="175">
        <v>23.011859616860001</v>
      </c>
      <c r="G69" s="175">
        <v>25.469574498539998</v>
      </c>
      <c r="H69" s="25"/>
      <c r="I69" s="25"/>
      <c r="J69" s="25"/>
      <c r="K69" s="25"/>
      <c r="L69" s="25"/>
      <c r="M69" s="25"/>
      <c r="N69" s="25"/>
      <c r="O69" s="25"/>
      <c r="P69" s="25"/>
      <c r="Q69" s="25"/>
    </row>
    <row r="70" spans="1:17" outlineLevel="3" x14ac:dyDescent="0.3">
      <c r="A70" s="176" t="s">
        <v>119</v>
      </c>
      <c r="B70" s="175">
        <f t="shared" ref="B70:G70" si="9">SUM(B$71:B$76)</f>
        <v>33.342212997930005</v>
      </c>
      <c r="C70" s="175">
        <f t="shared" si="9"/>
        <v>61.086282690360008</v>
      </c>
      <c r="D70" s="175">
        <f t="shared" si="9"/>
        <v>50.739152857089998</v>
      </c>
      <c r="E70" s="175">
        <f t="shared" si="9"/>
        <v>60.379535033480003</v>
      </c>
      <c r="F70" s="175">
        <f t="shared" si="9"/>
        <v>59.488384682030002</v>
      </c>
      <c r="G70" s="175">
        <f t="shared" si="9"/>
        <v>62.159684084680002</v>
      </c>
      <c r="H70" s="25"/>
      <c r="I70" s="25"/>
      <c r="J70" s="25"/>
      <c r="K70" s="25"/>
      <c r="L70" s="25"/>
      <c r="M70" s="25"/>
      <c r="N70" s="25"/>
      <c r="O70" s="25"/>
      <c r="P70" s="25"/>
      <c r="Q70" s="25"/>
    </row>
    <row r="71" spans="1:17" outlineLevel="4" x14ac:dyDescent="0.3">
      <c r="A71" s="174" t="s">
        <v>120</v>
      </c>
      <c r="B71" s="175">
        <v>6.6055000000000001</v>
      </c>
      <c r="C71" s="175">
        <v>17.369800000000001</v>
      </c>
      <c r="D71" s="175">
        <v>20.099689999999999</v>
      </c>
      <c r="E71" s="175">
        <v>25.318149999999999</v>
      </c>
      <c r="F71" s="175">
        <v>27.435134999999999</v>
      </c>
      <c r="G71" s="175">
        <v>28.552289999999999</v>
      </c>
      <c r="H71" s="25"/>
      <c r="I71" s="25"/>
      <c r="J71" s="25"/>
      <c r="K71" s="25"/>
      <c r="L71" s="25"/>
      <c r="M71" s="25"/>
      <c r="N71" s="25"/>
      <c r="O71" s="25"/>
      <c r="P71" s="25"/>
      <c r="Q71" s="25"/>
    </row>
    <row r="72" spans="1:17" outlineLevel="4" x14ac:dyDescent="0.3">
      <c r="A72" s="174" t="s">
        <v>121</v>
      </c>
      <c r="B72" s="175">
        <v>1.3509357200000001E-3</v>
      </c>
      <c r="C72" s="175">
        <v>1.77620796E-3</v>
      </c>
      <c r="D72" s="175">
        <v>1.5810478E-3</v>
      </c>
      <c r="E72" s="175">
        <v>1.99153347E-3</v>
      </c>
      <c r="F72" s="175">
        <v>2.15805616E-3</v>
      </c>
      <c r="G72" s="175">
        <v>2.2459319199999998E-3</v>
      </c>
      <c r="H72" s="25"/>
      <c r="I72" s="25"/>
      <c r="J72" s="25"/>
      <c r="K72" s="25"/>
      <c r="L72" s="25"/>
      <c r="M72" s="25"/>
      <c r="N72" s="25"/>
      <c r="O72" s="25"/>
      <c r="P72" s="25"/>
      <c r="Q72" s="25"/>
    </row>
    <row r="73" spans="1:17" outlineLevel="4" x14ac:dyDescent="0.3">
      <c r="A73" s="174" t="s">
        <v>122</v>
      </c>
      <c r="B73" s="175">
        <v>0</v>
      </c>
      <c r="C73" s="175">
        <v>0</v>
      </c>
      <c r="D73" s="175">
        <v>0</v>
      </c>
      <c r="E73" s="175">
        <v>0</v>
      </c>
      <c r="F73" s="175">
        <v>0.16403021542999999</v>
      </c>
      <c r="G73" s="175">
        <v>0.28202475074</v>
      </c>
      <c r="H73" s="25"/>
      <c r="I73" s="25"/>
      <c r="J73" s="25"/>
      <c r="K73" s="25"/>
      <c r="L73" s="25"/>
      <c r="M73" s="25"/>
      <c r="N73" s="25"/>
      <c r="O73" s="25"/>
      <c r="P73" s="25"/>
      <c r="Q73" s="25"/>
    </row>
    <row r="74" spans="1:17" outlineLevel="4" x14ac:dyDescent="0.3">
      <c r="A74" s="174" t="s">
        <v>123</v>
      </c>
      <c r="B74" s="175">
        <v>4.3171068115700004</v>
      </c>
      <c r="C74" s="175">
        <v>6.5858728443199999</v>
      </c>
      <c r="D74" s="175">
        <v>8.11366189644</v>
      </c>
      <c r="E74" s="175">
        <v>11.098013129230001</v>
      </c>
      <c r="F74" s="175">
        <v>10.288715116660001</v>
      </c>
      <c r="G74" s="175">
        <v>8.1087173963799994</v>
      </c>
      <c r="H74" s="25"/>
      <c r="I74" s="25"/>
      <c r="J74" s="25"/>
      <c r="K74" s="25"/>
      <c r="L74" s="25"/>
      <c r="M74" s="25"/>
      <c r="N74" s="25"/>
      <c r="O74" s="25"/>
      <c r="P74" s="25"/>
      <c r="Q74" s="25"/>
    </row>
    <row r="75" spans="1:17" outlineLevel="4" x14ac:dyDescent="0.3">
      <c r="A75" s="174" t="s">
        <v>124</v>
      </c>
      <c r="B75" s="175">
        <v>22.418255250640001</v>
      </c>
      <c r="C75" s="175">
        <v>37.128833638080003</v>
      </c>
      <c r="D75" s="175">
        <v>22.52421991285</v>
      </c>
      <c r="E75" s="175">
        <v>23.961380370779999</v>
      </c>
      <c r="F75" s="175">
        <v>21.598346293780001</v>
      </c>
      <c r="G75" s="175">
        <v>18.193875010589998</v>
      </c>
      <c r="H75" s="25"/>
      <c r="I75" s="25"/>
      <c r="J75" s="25"/>
      <c r="K75" s="25"/>
      <c r="L75" s="25"/>
      <c r="M75" s="25"/>
      <c r="N75" s="25"/>
      <c r="O75" s="25"/>
      <c r="P75" s="25"/>
      <c r="Q75" s="25"/>
    </row>
    <row r="76" spans="1:17" outlineLevel="4" x14ac:dyDescent="0.3">
      <c r="A76" s="174" t="s">
        <v>125</v>
      </c>
      <c r="B76" s="175">
        <v>0</v>
      </c>
      <c r="C76" s="175">
        <v>0</v>
      </c>
      <c r="D76" s="175">
        <v>0</v>
      </c>
      <c r="E76" s="175">
        <v>0</v>
      </c>
      <c r="F76" s="175">
        <v>0</v>
      </c>
      <c r="G76" s="175">
        <v>7.0205309950499997</v>
      </c>
      <c r="H76" s="25"/>
      <c r="I76" s="25"/>
      <c r="J76" s="25"/>
      <c r="K76" s="25"/>
      <c r="L76" s="25"/>
      <c r="M76" s="25"/>
      <c r="N76" s="25"/>
      <c r="O76" s="25"/>
      <c r="P76" s="25"/>
      <c r="Q76" s="25"/>
    </row>
    <row r="77" spans="1:17" outlineLevel="3" x14ac:dyDescent="0.3">
      <c r="A77" s="176" t="s">
        <v>126</v>
      </c>
      <c r="B77" s="175">
        <f t="shared" ref="B77:G77" si="10">SUM(B$78:B$85)</f>
        <v>456.46710759700005</v>
      </c>
      <c r="C77" s="175">
        <f t="shared" si="10"/>
        <v>575.39488208960006</v>
      </c>
      <c r="D77" s="175">
        <f t="shared" si="10"/>
        <v>543.16986546599992</v>
      </c>
      <c r="E77" s="175">
        <f t="shared" si="10"/>
        <v>718.83682421800006</v>
      </c>
      <c r="F77" s="175">
        <f t="shared" si="10"/>
        <v>750.56792791199996</v>
      </c>
      <c r="G77" s="175">
        <f t="shared" si="10"/>
        <v>639.79848096628996</v>
      </c>
      <c r="H77" s="25"/>
      <c r="I77" s="25"/>
      <c r="J77" s="25"/>
      <c r="K77" s="25"/>
      <c r="L77" s="25"/>
      <c r="M77" s="25"/>
      <c r="N77" s="25"/>
      <c r="O77" s="25"/>
      <c r="P77" s="25"/>
      <c r="Q77" s="25"/>
    </row>
    <row r="78" spans="1:17" outlineLevel="4" x14ac:dyDescent="0.3">
      <c r="A78" s="174" t="s">
        <v>127</v>
      </c>
      <c r="B78" s="175">
        <v>279.63773759700001</v>
      </c>
      <c r="C78" s="175">
        <v>244.17311208960001</v>
      </c>
      <c r="D78" s="175">
        <v>208.99547546599999</v>
      </c>
      <c r="E78" s="175">
        <v>276.48165421800002</v>
      </c>
      <c r="F78" s="175">
        <v>287.17087291199999</v>
      </c>
      <c r="G78" s="175">
        <v>0</v>
      </c>
      <c r="H78" s="25"/>
      <c r="I78" s="25"/>
      <c r="J78" s="25"/>
      <c r="K78" s="25"/>
      <c r="L78" s="25"/>
      <c r="M78" s="25"/>
      <c r="N78" s="25"/>
      <c r="O78" s="25"/>
      <c r="P78" s="25"/>
      <c r="Q78" s="25"/>
    </row>
    <row r="79" spans="1:17" outlineLevel="4" x14ac:dyDescent="0.3">
      <c r="A79" s="174" t="s">
        <v>128</v>
      </c>
      <c r="B79" s="175">
        <v>23.686199999999999</v>
      </c>
      <c r="C79" s="175">
        <v>28.2746</v>
      </c>
      <c r="D79" s="175">
        <v>0</v>
      </c>
      <c r="E79" s="175">
        <v>0</v>
      </c>
      <c r="F79" s="175">
        <v>0</v>
      </c>
      <c r="G79" s="175">
        <v>0</v>
      </c>
      <c r="H79" s="25"/>
      <c r="I79" s="25"/>
      <c r="J79" s="25"/>
      <c r="K79" s="25"/>
      <c r="L79" s="25"/>
      <c r="M79" s="25"/>
      <c r="N79" s="25"/>
      <c r="O79" s="25"/>
      <c r="P79" s="25"/>
      <c r="Q79" s="25"/>
    </row>
    <row r="80" spans="1:17" outlineLevel="4" x14ac:dyDescent="0.3">
      <c r="A80" s="174" t="s">
        <v>129</v>
      </c>
      <c r="B80" s="175">
        <v>71.058599999999998</v>
      </c>
      <c r="C80" s="175">
        <v>84.823800000000006</v>
      </c>
      <c r="D80" s="175">
        <v>81.834599999999995</v>
      </c>
      <c r="E80" s="175">
        <v>109.7058</v>
      </c>
      <c r="F80" s="175">
        <v>113.9472</v>
      </c>
      <c r="G80" s="175">
        <v>0</v>
      </c>
      <c r="H80" s="25"/>
      <c r="I80" s="25"/>
      <c r="J80" s="25"/>
      <c r="K80" s="25"/>
      <c r="L80" s="25"/>
      <c r="M80" s="25"/>
      <c r="N80" s="25"/>
      <c r="O80" s="25"/>
      <c r="P80" s="25"/>
      <c r="Q80" s="25"/>
    </row>
    <row r="81" spans="1:17" outlineLevel="4" x14ac:dyDescent="0.3">
      <c r="A81" s="174" t="s">
        <v>130</v>
      </c>
      <c r="B81" s="175">
        <v>55.662570000000002</v>
      </c>
      <c r="C81" s="175">
        <v>66.445310000000006</v>
      </c>
      <c r="D81" s="175">
        <v>64.103769999999997</v>
      </c>
      <c r="E81" s="175">
        <v>85.936210000000003</v>
      </c>
      <c r="F81" s="175">
        <v>89.25864</v>
      </c>
      <c r="G81" s="175">
        <v>0</v>
      </c>
      <c r="H81" s="25"/>
      <c r="I81" s="25"/>
      <c r="J81" s="25"/>
      <c r="K81" s="25"/>
      <c r="L81" s="25"/>
      <c r="M81" s="25"/>
      <c r="N81" s="25"/>
      <c r="O81" s="25"/>
      <c r="P81" s="25"/>
      <c r="Q81" s="25"/>
    </row>
    <row r="82" spans="1:17" outlineLevel="4" x14ac:dyDescent="0.3">
      <c r="A82" s="174" t="s">
        <v>131</v>
      </c>
      <c r="B82" s="175">
        <v>26.422000000000001</v>
      </c>
      <c r="C82" s="175">
        <v>34.739600000000003</v>
      </c>
      <c r="D82" s="175">
        <v>30.922599999999999</v>
      </c>
      <c r="E82" s="175">
        <v>38.951000000000001</v>
      </c>
      <c r="F82" s="175">
        <v>42.207900000000002</v>
      </c>
      <c r="G82" s="175">
        <v>0</v>
      </c>
      <c r="H82" s="25"/>
      <c r="I82" s="25"/>
      <c r="J82" s="25"/>
      <c r="K82" s="25"/>
      <c r="L82" s="25"/>
      <c r="M82" s="25"/>
      <c r="N82" s="25"/>
      <c r="O82" s="25"/>
      <c r="P82" s="25"/>
      <c r="Q82" s="25"/>
    </row>
    <row r="83" spans="1:17" outlineLevel="4" x14ac:dyDescent="0.3">
      <c r="A83" s="174" t="s">
        <v>132</v>
      </c>
      <c r="B83" s="175">
        <v>0</v>
      </c>
      <c r="C83" s="175">
        <v>116.93846000000001</v>
      </c>
      <c r="D83" s="175">
        <v>109.57657</v>
      </c>
      <c r="E83" s="175">
        <v>143.76711</v>
      </c>
      <c r="F83" s="175">
        <v>151.514115</v>
      </c>
      <c r="G83" s="175">
        <v>0</v>
      </c>
      <c r="H83" s="25"/>
      <c r="I83" s="25"/>
      <c r="J83" s="25"/>
      <c r="K83" s="25"/>
      <c r="L83" s="25"/>
      <c r="M83" s="25"/>
      <c r="N83" s="25"/>
      <c r="O83" s="25"/>
      <c r="P83" s="25"/>
      <c r="Q83" s="25"/>
    </row>
    <row r="84" spans="1:17" outlineLevel="4" x14ac:dyDescent="0.3">
      <c r="A84" s="174" t="s">
        <v>133</v>
      </c>
      <c r="B84" s="175">
        <v>0</v>
      </c>
      <c r="C84" s="175">
        <v>0</v>
      </c>
      <c r="D84" s="175">
        <v>47.736849999999997</v>
      </c>
      <c r="E84" s="175">
        <v>63.995049999999999</v>
      </c>
      <c r="F84" s="175">
        <v>66.469200000000001</v>
      </c>
      <c r="G84" s="175">
        <v>0</v>
      </c>
      <c r="H84" s="25"/>
      <c r="I84" s="25"/>
      <c r="J84" s="25"/>
      <c r="K84" s="25"/>
      <c r="L84" s="25"/>
      <c r="M84" s="25"/>
      <c r="N84" s="25"/>
      <c r="O84" s="25"/>
      <c r="P84" s="25"/>
      <c r="Q84" s="25"/>
    </row>
    <row r="85" spans="1:17" outlineLevel="4" x14ac:dyDescent="0.3">
      <c r="A85" s="174" t="s">
        <v>134</v>
      </c>
      <c r="B85" s="175">
        <v>0</v>
      </c>
      <c r="C85" s="175">
        <v>0</v>
      </c>
      <c r="D85" s="175">
        <v>0</v>
      </c>
      <c r="E85" s="175">
        <v>0</v>
      </c>
      <c r="F85" s="175">
        <v>0</v>
      </c>
      <c r="G85" s="175">
        <v>639.79848096628996</v>
      </c>
      <c r="H85" s="25"/>
      <c r="I85" s="25"/>
      <c r="J85" s="25"/>
      <c r="K85" s="25"/>
      <c r="L85" s="25"/>
      <c r="M85" s="25"/>
      <c r="N85" s="25"/>
      <c r="O85" s="25"/>
      <c r="P85" s="25"/>
      <c r="Q85" s="25"/>
    </row>
    <row r="86" spans="1:17" outlineLevel="3" x14ac:dyDescent="0.3">
      <c r="A86" s="176" t="s">
        <v>135</v>
      </c>
      <c r="B86" s="175">
        <f t="shared" ref="B86:G86" si="11">SUM(B$87:B$87)</f>
        <v>71.058599999999998</v>
      </c>
      <c r="C86" s="175">
        <f t="shared" si="11"/>
        <v>84.823800000000006</v>
      </c>
      <c r="D86" s="175">
        <f t="shared" si="11"/>
        <v>81.834599999999995</v>
      </c>
      <c r="E86" s="175">
        <f t="shared" si="11"/>
        <v>109.7058</v>
      </c>
      <c r="F86" s="175">
        <f t="shared" si="11"/>
        <v>113.9472</v>
      </c>
      <c r="G86" s="175">
        <f t="shared" si="11"/>
        <v>126.117</v>
      </c>
      <c r="H86" s="25"/>
      <c r="I86" s="25"/>
      <c r="J86" s="25"/>
      <c r="K86" s="25"/>
      <c r="L86" s="25"/>
      <c r="M86" s="25"/>
      <c r="N86" s="25"/>
      <c r="O86" s="25"/>
      <c r="P86" s="25"/>
      <c r="Q86" s="25"/>
    </row>
    <row r="87" spans="1:17" outlineLevel="4" x14ac:dyDescent="0.3">
      <c r="A87" s="174" t="s">
        <v>136</v>
      </c>
      <c r="B87" s="175">
        <v>71.058599999999998</v>
      </c>
      <c r="C87" s="175">
        <v>84.823800000000006</v>
      </c>
      <c r="D87" s="175">
        <v>81.834599999999995</v>
      </c>
      <c r="E87" s="175">
        <v>109.7058</v>
      </c>
      <c r="F87" s="175">
        <v>113.9472</v>
      </c>
      <c r="G87" s="175">
        <v>126.117</v>
      </c>
      <c r="H87" s="25"/>
      <c r="I87" s="25"/>
      <c r="J87" s="25"/>
      <c r="K87" s="25"/>
      <c r="L87" s="25"/>
      <c r="M87" s="25"/>
      <c r="N87" s="25"/>
      <c r="O87" s="25"/>
      <c r="P87" s="25"/>
      <c r="Q87" s="25"/>
    </row>
    <row r="88" spans="1:17" outlineLevel="3" x14ac:dyDescent="0.3">
      <c r="A88" s="176" t="s">
        <v>137</v>
      </c>
      <c r="B88" s="175">
        <f t="shared" ref="B88:G88" si="12">SUM(B$89:B$89)</f>
        <v>40.221789200000003</v>
      </c>
      <c r="C88" s="175">
        <f t="shared" si="12"/>
        <v>50.007862420000002</v>
      </c>
      <c r="D88" s="175">
        <f t="shared" si="12"/>
        <v>120.49942593211</v>
      </c>
      <c r="E88" s="175">
        <f t="shared" si="12"/>
        <v>153.60404350837999</v>
      </c>
      <c r="F88" s="175">
        <f t="shared" si="12"/>
        <v>160.84042546983</v>
      </c>
      <c r="G88" s="175">
        <f t="shared" si="12"/>
        <v>173.03822402111001</v>
      </c>
      <c r="H88" s="25"/>
      <c r="I88" s="25"/>
      <c r="J88" s="25"/>
      <c r="K88" s="25"/>
      <c r="L88" s="25"/>
      <c r="M88" s="25"/>
      <c r="N88" s="25"/>
      <c r="O88" s="25"/>
      <c r="P88" s="25"/>
      <c r="Q88" s="25"/>
    </row>
    <row r="89" spans="1:17" outlineLevel="4" x14ac:dyDescent="0.3">
      <c r="A89" s="174" t="s">
        <v>104</v>
      </c>
      <c r="B89" s="175">
        <v>40.221789200000003</v>
      </c>
      <c r="C89" s="175">
        <v>50.007862420000002</v>
      </c>
      <c r="D89" s="175">
        <v>120.49942593211</v>
      </c>
      <c r="E89" s="175">
        <v>153.60404350837999</v>
      </c>
      <c r="F89" s="175">
        <v>160.84042546983</v>
      </c>
      <c r="G89" s="175">
        <v>173.03822402111001</v>
      </c>
      <c r="H89" s="25"/>
      <c r="I89" s="25"/>
      <c r="J89" s="25"/>
      <c r="K89" s="25"/>
      <c r="L89" s="25"/>
      <c r="M89" s="25"/>
      <c r="N89" s="25"/>
      <c r="O89" s="25"/>
      <c r="P89" s="25"/>
      <c r="Q89" s="25"/>
    </row>
    <row r="90" spans="1:17" ht="14.5" outlineLevel="1" x14ac:dyDescent="0.35">
      <c r="A90" s="187" t="s">
        <v>2</v>
      </c>
      <c r="B90" s="188">
        <f t="shared" ref="B90:G90" si="13">B$91+B$112</f>
        <v>236.92676848389004</v>
      </c>
      <c r="C90" s="188">
        <f t="shared" si="13"/>
        <v>292.65022361159004</v>
      </c>
      <c r="D90" s="188">
        <f t="shared" si="13"/>
        <v>309.33986955858001</v>
      </c>
      <c r="E90" s="188">
        <f t="shared" si="13"/>
        <v>360.43420638318003</v>
      </c>
      <c r="F90" s="188">
        <f t="shared" si="13"/>
        <v>331.5447170827199</v>
      </c>
      <c r="G90" s="188">
        <f t="shared" si="13"/>
        <v>288.51110931760996</v>
      </c>
      <c r="H90" s="25"/>
      <c r="I90" s="25"/>
      <c r="J90" s="25"/>
      <c r="K90" s="25"/>
      <c r="L90" s="25"/>
      <c r="M90" s="25"/>
      <c r="N90" s="25"/>
      <c r="O90" s="25"/>
      <c r="P90" s="25"/>
      <c r="Q90" s="25"/>
    </row>
    <row r="91" spans="1:17" ht="14.5" outlineLevel="2" x14ac:dyDescent="0.35">
      <c r="A91" s="185" t="s">
        <v>57</v>
      </c>
      <c r="B91" s="186">
        <f t="shared" ref="B91:G91" si="14">B$92+B$100+B$110</f>
        <v>9.3528146082500001</v>
      </c>
      <c r="C91" s="186">
        <f t="shared" si="14"/>
        <v>32.237360687399999</v>
      </c>
      <c r="D91" s="186">
        <f t="shared" si="14"/>
        <v>49.038826509239996</v>
      </c>
      <c r="E91" s="186">
        <f t="shared" si="14"/>
        <v>72.197931313059996</v>
      </c>
      <c r="F91" s="186">
        <f t="shared" si="14"/>
        <v>68.798719139519989</v>
      </c>
      <c r="G91" s="186">
        <f t="shared" si="14"/>
        <v>69.357463909260005</v>
      </c>
      <c r="H91" s="25"/>
      <c r="I91" s="25"/>
      <c r="J91" s="25"/>
      <c r="K91" s="25"/>
      <c r="L91" s="25"/>
      <c r="M91" s="25"/>
      <c r="N91" s="25"/>
      <c r="O91" s="25"/>
      <c r="P91" s="25"/>
      <c r="Q91" s="25"/>
    </row>
    <row r="92" spans="1:17" outlineLevel="3" x14ac:dyDescent="0.3">
      <c r="A92" s="176" t="s">
        <v>58</v>
      </c>
      <c r="B92" s="175">
        <f t="shared" ref="B92:G92" si="15">SUM(B$93:B$99)</f>
        <v>4.1880116000000003</v>
      </c>
      <c r="C92" s="175">
        <f t="shared" si="15"/>
        <v>24.3868166</v>
      </c>
      <c r="D92" s="175">
        <f t="shared" si="15"/>
        <v>16.928416600000002</v>
      </c>
      <c r="E92" s="175">
        <f t="shared" si="15"/>
        <v>11.847416600000001</v>
      </c>
      <c r="F92" s="175">
        <f t="shared" si="15"/>
        <v>7.9750116000000002</v>
      </c>
      <c r="G92" s="175">
        <f t="shared" si="15"/>
        <v>4.4750116000000002</v>
      </c>
      <c r="H92" s="25"/>
      <c r="I92" s="25"/>
      <c r="J92" s="25"/>
      <c r="K92" s="25"/>
      <c r="L92" s="25"/>
      <c r="M92" s="25"/>
      <c r="N92" s="25"/>
      <c r="O92" s="25"/>
      <c r="P92" s="25"/>
      <c r="Q92" s="25"/>
    </row>
    <row r="93" spans="1:17" outlineLevel="4" x14ac:dyDescent="0.3">
      <c r="A93" s="174" t="s">
        <v>138</v>
      </c>
      <c r="B93" s="175">
        <v>1.1600000000000001E-5</v>
      </c>
      <c r="C93" s="175">
        <v>1.1600000000000001E-5</v>
      </c>
      <c r="D93" s="175">
        <v>1.1600000000000001E-5</v>
      </c>
      <c r="E93" s="175">
        <v>1.1600000000000001E-5</v>
      </c>
      <c r="F93" s="175">
        <v>1.1600000000000001E-5</v>
      </c>
      <c r="G93" s="175">
        <v>1.1600000000000001E-5</v>
      </c>
      <c r="H93" s="25"/>
      <c r="I93" s="25"/>
      <c r="J93" s="25"/>
      <c r="K93" s="25"/>
      <c r="L93" s="25"/>
      <c r="M93" s="25"/>
      <c r="N93" s="25"/>
      <c r="O93" s="25"/>
      <c r="P93" s="25"/>
      <c r="Q93" s="25"/>
    </row>
    <row r="94" spans="1:17" outlineLevel="4" x14ac:dyDescent="0.3">
      <c r="A94" s="174" t="s">
        <v>139</v>
      </c>
      <c r="B94" s="175">
        <v>2.1880000000000002</v>
      </c>
      <c r="C94" s="175">
        <v>3.4750000000000001</v>
      </c>
      <c r="D94" s="175">
        <v>3.4750000000000001</v>
      </c>
      <c r="E94" s="175">
        <v>3.4750000000000001</v>
      </c>
      <c r="F94" s="175">
        <v>2.4750000000000001</v>
      </c>
      <c r="G94" s="175">
        <v>2.4750000000000001</v>
      </c>
      <c r="H94" s="25"/>
      <c r="I94" s="25"/>
      <c r="J94" s="25"/>
      <c r="K94" s="25"/>
      <c r="L94" s="25"/>
      <c r="M94" s="25"/>
      <c r="N94" s="25"/>
      <c r="O94" s="25"/>
      <c r="P94" s="25"/>
      <c r="Q94" s="25"/>
    </row>
    <row r="95" spans="1:17" outlineLevel="4" x14ac:dyDescent="0.3">
      <c r="A95" s="174" t="s">
        <v>140</v>
      </c>
      <c r="B95" s="175">
        <v>2</v>
      </c>
      <c r="C95" s="175">
        <v>1.6763999999999999</v>
      </c>
      <c r="D95" s="175">
        <v>0</v>
      </c>
      <c r="E95" s="175">
        <v>0</v>
      </c>
      <c r="F95" s="175">
        <v>0</v>
      </c>
      <c r="G95" s="175">
        <v>0</v>
      </c>
      <c r="H95" s="25"/>
      <c r="I95" s="25"/>
      <c r="J95" s="25"/>
      <c r="K95" s="25"/>
      <c r="L95" s="25"/>
      <c r="M95" s="25"/>
      <c r="N95" s="25"/>
      <c r="O95" s="25"/>
      <c r="P95" s="25"/>
      <c r="Q95" s="25"/>
    </row>
    <row r="96" spans="1:17" outlineLevel="4" x14ac:dyDescent="0.3">
      <c r="A96" s="174" t="s">
        <v>141</v>
      </c>
      <c r="B96" s="175">
        <v>0</v>
      </c>
      <c r="C96" s="175">
        <v>10.863</v>
      </c>
      <c r="D96" s="175">
        <v>5.0810000000000004</v>
      </c>
      <c r="E96" s="175">
        <v>0</v>
      </c>
      <c r="F96" s="175">
        <v>0</v>
      </c>
      <c r="G96" s="175">
        <v>0</v>
      </c>
      <c r="H96" s="25"/>
      <c r="I96" s="25"/>
      <c r="J96" s="25"/>
      <c r="K96" s="25"/>
      <c r="L96" s="25"/>
      <c r="M96" s="25"/>
      <c r="N96" s="25"/>
      <c r="O96" s="25"/>
      <c r="P96" s="25"/>
      <c r="Q96" s="25"/>
    </row>
    <row r="97" spans="1:17" outlineLevel="4" x14ac:dyDescent="0.3">
      <c r="A97" s="174" t="s">
        <v>142</v>
      </c>
      <c r="B97" s="175">
        <v>0</v>
      </c>
      <c r="C97" s="175">
        <v>2.8724050000000001</v>
      </c>
      <c r="D97" s="175">
        <v>2.8724050000000001</v>
      </c>
      <c r="E97" s="175">
        <v>2.8724050000000001</v>
      </c>
      <c r="F97" s="175">
        <v>0</v>
      </c>
      <c r="G97" s="175">
        <v>0</v>
      </c>
      <c r="H97" s="25"/>
      <c r="I97" s="25"/>
      <c r="J97" s="25"/>
      <c r="K97" s="25"/>
      <c r="L97" s="25"/>
      <c r="M97" s="25"/>
      <c r="N97" s="25"/>
      <c r="O97" s="25"/>
      <c r="P97" s="25"/>
      <c r="Q97" s="25"/>
    </row>
    <row r="98" spans="1:17" outlineLevel="4" x14ac:dyDescent="0.3">
      <c r="A98" s="174" t="s">
        <v>143</v>
      </c>
      <c r="B98" s="175">
        <v>0</v>
      </c>
      <c r="C98" s="175">
        <v>3.5</v>
      </c>
      <c r="D98" s="175">
        <v>3.5</v>
      </c>
      <c r="E98" s="175">
        <v>3.5</v>
      </c>
      <c r="F98" s="175">
        <v>3.5</v>
      </c>
      <c r="G98" s="175">
        <v>0</v>
      </c>
      <c r="H98" s="25"/>
      <c r="I98" s="25"/>
      <c r="J98" s="25"/>
      <c r="K98" s="25"/>
      <c r="L98" s="25"/>
      <c r="M98" s="25"/>
      <c r="N98" s="25"/>
      <c r="O98" s="25"/>
      <c r="P98" s="25"/>
      <c r="Q98" s="25"/>
    </row>
    <row r="99" spans="1:17" outlineLevel="4" x14ac:dyDescent="0.3">
      <c r="A99" s="174" t="s">
        <v>144</v>
      </c>
      <c r="B99" s="175">
        <v>0</v>
      </c>
      <c r="C99" s="175">
        <v>2</v>
      </c>
      <c r="D99" s="175">
        <v>2</v>
      </c>
      <c r="E99" s="175">
        <v>2</v>
      </c>
      <c r="F99" s="175">
        <v>2</v>
      </c>
      <c r="G99" s="175">
        <v>2</v>
      </c>
      <c r="H99" s="25"/>
      <c r="I99" s="25"/>
      <c r="J99" s="25"/>
      <c r="K99" s="25"/>
      <c r="L99" s="25"/>
      <c r="M99" s="25"/>
      <c r="N99" s="25"/>
      <c r="O99" s="25"/>
      <c r="P99" s="25"/>
      <c r="Q99" s="25"/>
    </row>
    <row r="100" spans="1:17" outlineLevel="3" x14ac:dyDescent="0.3">
      <c r="A100" s="176" t="s">
        <v>93</v>
      </c>
      <c r="B100" s="175">
        <f t="shared" ref="B100:G100" si="16">SUM(B$101:B$109)</f>
        <v>5.1638483582500001</v>
      </c>
      <c r="C100" s="175">
        <f t="shared" si="16"/>
        <v>7.8495894373999997</v>
      </c>
      <c r="D100" s="175">
        <f t="shared" si="16"/>
        <v>32.109455259240001</v>
      </c>
      <c r="E100" s="175">
        <f t="shared" si="16"/>
        <v>60.349560063059997</v>
      </c>
      <c r="F100" s="175">
        <f t="shared" si="16"/>
        <v>60.822752889519997</v>
      </c>
      <c r="G100" s="175">
        <f t="shared" si="16"/>
        <v>64.881497659260006</v>
      </c>
      <c r="H100" s="25"/>
      <c r="I100" s="25"/>
      <c r="J100" s="25"/>
      <c r="K100" s="25"/>
      <c r="L100" s="25"/>
      <c r="M100" s="25"/>
      <c r="N100" s="25"/>
      <c r="O100" s="25"/>
      <c r="P100" s="25"/>
      <c r="Q100" s="25"/>
    </row>
    <row r="101" spans="1:17" outlineLevel="4" x14ac:dyDescent="0.3">
      <c r="A101" s="174" t="s">
        <v>145</v>
      </c>
      <c r="B101" s="175">
        <v>5.8776307889999997E-2</v>
      </c>
      <c r="C101" s="175">
        <v>1.0434432467899999</v>
      </c>
      <c r="D101" s="175">
        <v>4.3504301856599996</v>
      </c>
      <c r="E101" s="175">
        <v>4.2835835157500002</v>
      </c>
      <c r="F101" s="175">
        <v>3.58431738666</v>
      </c>
      <c r="G101" s="175">
        <v>2.6414929643299998</v>
      </c>
      <c r="H101" s="25"/>
      <c r="I101" s="25"/>
      <c r="J101" s="25"/>
      <c r="K101" s="25"/>
      <c r="L101" s="25"/>
      <c r="M101" s="25"/>
      <c r="N101" s="25"/>
      <c r="O101" s="25"/>
      <c r="P101" s="25"/>
      <c r="Q101" s="25"/>
    </row>
    <row r="102" spans="1:17" outlineLevel="4" x14ac:dyDescent="0.3">
      <c r="A102" s="174" t="s">
        <v>146</v>
      </c>
      <c r="B102" s="175">
        <v>0</v>
      </c>
      <c r="C102" s="175">
        <v>0</v>
      </c>
      <c r="D102" s="175">
        <v>0.3546166</v>
      </c>
      <c r="E102" s="175">
        <v>0.47539179999999998</v>
      </c>
      <c r="F102" s="175">
        <v>0.43890773350000001</v>
      </c>
      <c r="G102" s="175">
        <v>0.30361500074999997</v>
      </c>
      <c r="H102" s="25"/>
      <c r="I102" s="25"/>
      <c r="J102" s="25"/>
      <c r="K102" s="25"/>
      <c r="L102" s="25"/>
      <c r="M102" s="25"/>
      <c r="N102" s="25"/>
      <c r="O102" s="25"/>
      <c r="P102" s="25"/>
      <c r="Q102" s="25"/>
    </row>
    <row r="103" spans="1:17" outlineLevel="4" x14ac:dyDescent="0.3">
      <c r="A103" s="174" t="s">
        <v>147</v>
      </c>
      <c r="B103" s="175">
        <v>0</v>
      </c>
      <c r="C103" s="175">
        <v>1.8936914606799999</v>
      </c>
      <c r="D103" s="175">
        <v>10.60962944519</v>
      </c>
      <c r="E103" s="175">
        <v>12.3806687687</v>
      </c>
      <c r="F103" s="175">
        <v>11.39334056433</v>
      </c>
      <c r="G103" s="175">
        <v>14.99023391273</v>
      </c>
      <c r="H103" s="25"/>
      <c r="I103" s="25"/>
      <c r="J103" s="25"/>
      <c r="K103" s="25"/>
      <c r="L103" s="25"/>
      <c r="M103" s="25"/>
      <c r="N103" s="25"/>
      <c r="O103" s="25"/>
      <c r="P103" s="25"/>
      <c r="Q103" s="25"/>
    </row>
    <row r="104" spans="1:17" outlineLevel="4" x14ac:dyDescent="0.3">
      <c r="A104" s="174" t="s">
        <v>148</v>
      </c>
      <c r="B104" s="175">
        <v>1.97175653</v>
      </c>
      <c r="C104" s="175">
        <v>4.2217565300000004</v>
      </c>
      <c r="D104" s="175">
        <v>12.21438637152</v>
      </c>
      <c r="E104" s="175">
        <v>13.78798622101</v>
      </c>
      <c r="F104" s="175">
        <v>13.171333369219999</v>
      </c>
      <c r="G104" s="175">
        <v>13.25976210098</v>
      </c>
      <c r="H104" s="25"/>
      <c r="I104" s="25"/>
      <c r="J104" s="25"/>
      <c r="K104" s="25"/>
      <c r="L104" s="25"/>
      <c r="M104" s="25"/>
      <c r="N104" s="25"/>
      <c r="O104" s="25"/>
      <c r="P104" s="25"/>
      <c r="Q104" s="25"/>
    </row>
    <row r="105" spans="1:17" outlineLevel="4" x14ac:dyDescent="0.3">
      <c r="A105" s="174" t="s">
        <v>149</v>
      </c>
      <c r="B105" s="175">
        <v>0</v>
      </c>
      <c r="C105" s="175">
        <v>0</v>
      </c>
      <c r="D105" s="175">
        <v>0.27278200000000002</v>
      </c>
      <c r="E105" s="175">
        <v>0.36568600000000001</v>
      </c>
      <c r="F105" s="175">
        <v>0.33762133300000002</v>
      </c>
      <c r="G105" s="175">
        <v>0.23354999851</v>
      </c>
      <c r="H105" s="25"/>
      <c r="I105" s="25"/>
      <c r="J105" s="25"/>
      <c r="K105" s="25"/>
      <c r="L105" s="25"/>
      <c r="M105" s="25"/>
      <c r="N105" s="25"/>
      <c r="O105" s="25"/>
      <c r="P105" s="25"/>
      <c r="Q105" s="25"/>
    </row>
    <row r="106" spans="1:17" outlineLevel="4" x14ac:dyDescent="0.3">
      <c r="A106" s="174" t="s">
        <v>150</v>
      </c>
      <c r="B106" s="175">
        <v>0</v>
      </c>
      <c r="C106" s="175">
        <v>0</v>
      </c>
      <c r="D106" s="175">
        <v>0.38189479999999998</v>
      </c>
      <c r="E106" s="175">
        <v>0.51196039999999998</v>
      </c>
      <c r="F106" s="175">
        <v>0.47266986649999998</v>
      </c>
      <c r="G106" s="175">
        <v>0.32696999924999998</v>
      </c>
      <c r="H106" s="25"/>
      <c r="I106" s="25"/>
      <c r="J106" s="25"/>
      <c r="K106" s="25"/>
      <c r="L106" s="25"/>
      <c r="M106" s="25"/>
      <c r="N106" s="25"/>
      <c r="O106" s="25"/>
      <c r="P106" s="25"/>
      <c r="Q106" s="25"/>
    </row>
    <row r="107" spans="1:17" outlineLevel="4" x14ac:dyDescent="0.3">
      <c r="A107" s="174" t="s">
        <v>151</v>
      </c>
      <c r="B107" s="175">
        <v>1.75162567326</v>
      </c>
      <c r="C107" s="175">
        <v>8.6005375829999994E-2</v>
      </c>
      <c r="D107" s="175">
        <v>0</v>
      </c>
      <c r="E107" s="175">
        <v>0</v>
      </c>
      <c r="F107" s="175">
        <v>0</v>
      </c>
      <c r="G107" s="175">
        <v>0</v>
      </c>
      <c r="H107" s="25"/>
      <c r="I107" s="25"/>
      <c r="J107" s="25"/>
      <c r="K107" s="25"/>
      <c r="L107" s="25"/>
      <c r="M107" s="25"/>
      <c r="N107" s="25"/>
      <c r="O107" s="25"/>
      <c r="P107" s="25"/>
      <c r="Q107" s="25"/>
    </row>
    <row r="108" spans="1:17" outlineLevel="4" x14ac:dyDescent="0.3">
      <c r="A108" s="174" t="s">
        <v>152</v>
      </c>
      <c r="B108" s="175">
        <v>1.3816898471000001</v>
      </c>
      <c r="C108" s="175">
        <v>0.60469282410000003</v>
      </c>
      <c r="D108" s="175">
        <v>0.29995578815000001</v>
      </c>
      <c r="E108" s="175">
        <v>0.14995578814999999</v>
      </c>
      <c r="F108" s="175">
        <v>0</v>
      </c>
      <c r="G108" s="175">
        <v>0</v>
      </c>
      <c r="H108" s="25"/>
      <c r="I108" s="25"/>
      <c r="J108" s="25"/>
      <c r="K108" s="25"/>
      <c r="L108" s="25"/>
      <c r="M108" s="25"/>
      <c r="N108" s="25"/>
      <c r="O108" s="25"/>
      <c r="P108" s="25"/>
      <c r="Q108" s="25"/>
    </row>
    <row r="109" spans="1:17" outlineLevel="4" x14ac:dyDescent="0.3">
      <c r="A109" s="174" t="s">
        <v>153</v>
      </c>
      <c r="B109" s="175">
        <v>0</v>
      </c>
      <c r="C109" s="175">
        <v>0</v>
      </c>
      <c r="D109" s="175">
        <v>3.62576006872</v>
      </c>
      <c r="E109" s="175">
        <v>28.394327569449999</v>
      </c>
      <c r="F109" s="175">
        <v>31.42456263631</v>
      </c>
      <c r="G109" s="175">
        <v>33.125873682710001</v>
      </c>
      <c r="H109" s="25"/>
      <c r="I109" s="25"/>
      <c r="J109" s="25"/>
      <c r="K109" s="25"/>
      <c r="L109" s="25"/>
      <c r="M109" s="25"/>
      <c r="N109" s="25"/>
      <c r="O109" s="25"/>
      <c r="P109" s="25"/>
      <c r="Q109" s="25"/>
    </row>
    <row r="110" spans="1:17" outlineLevel="3" x14ac:dyDescent="0.3">
      <c r="A110" s="176" t="s">
        <v>154</v>
      </c>
      <c r="B110" s="175">
        <f t="shared" ref="B110:G110" si="17">SUM(B$111:B$111)</f>
        <v>9.5465000000000003E-4</v>
      </c>
      <c r="C110" s="175">
        <f t="shared" si="17"/>
        <v>9.5465000000000003E-4</v>
      </c>
      <c r="D110" s="175">
        <f t="shared" si="17"/>
        <v>9.5465000000000003E-4</v>
      </c>
      <c r="E110" s="175">
        <f t="shared" si="17"/>
        <v>9.5465000000000003E-4</v>
      </c>
      <c r="F110" s="175">
        <f t="shared" si="17"/>
        <v>9.5465000000000003E-4</v>
      </c>
      <c r="G110" s="175">
        <f t="shared" si="17"/>
        <v>9.5465000000000003E-4</v>
      </c>
      <c r="H110" s="25"/>
      <c r="I110" s="25"/>
      <c r="J110" s="25"/>
      <c r="K110" s="25"/>
      <c r="L110" s="25"/>
      <c r="M110" s="25"/>
      <c r="N110" s="25"/>
      <c r="O110" s="25"/>
      <c r="P110" s="25"/>
      <c r="Q110" s="25"/>
    </row>
    <row r="111" spans="1:17" outlineLevel="4" x14ac:dyDescent="0.3">
      <c r="A111" s="174" t="s">
        <v>155</v>
      </c>
      <c r="B111" s="175">
        <v>9.5465000000000003E-4</v>
      </c>
      <c r="C111" s="175">
        <v>9.5465000000000003E-4</v>
      </c>
      <c r="D111" s="175">
        <v>9.5465000000000003E-4</v>
      </c>
      <c r="E111" s="175">
        <v>9.5465000000000003E-4</v>
      </c>
      <c r="F111" s="175">
        <v>9.5465000000000003E-4</v>
      </c>
      <c r="G111" s="175">
        <v>9.5465000000000003E-4</v>
      </c>
      <c r="H111" s="25"/>
      <c r="I111" s="25"/>
      <c r="J111" s="25"/>
      <c r="K111" s="25"/>
      <c r="L111" s="25"/>
      <c r="M111" s="25"/>
      <c r="N111" s="25"/>
      <c r="O111" s="25"/>
      <c r="P111" s="25"/>
      <c r="Q111" s="25"/>
    </row>
    <row r="112" spans="1:17" ht="14.5" outlineLevel="2" x14ac:dyDescent="0.35">
      <c r="A112" s="185" t="s">
        <v>95</v>
      </c>
      <c r="B112" s="186">
        <f t="shared" ref="B112:G112" si="18">B$113+B$120+B$123+B$129+B$132</f>
        <v>227.57395387564003</v>
      </c>
      <c r="C112" s="186">
        <f t="shared" si="18"/>
        <v>260.41286292419005</v>
      </c>
      <c r="D112" s="186">
        <f t="shared" si="18"/>
        <v>260.30104304934002</v>
      </c>
      <c r="E112" s="186">
        <f t="shared" si="18"/>
        <v>288.23627507012003</v>
      </c>
      <c r="F112" s="186">
        <f t="shared" si="18"/>
        <v>262.74599794319994</v>
      </c>
      <c r="G112" s="186">
        <f t="shared" si="18"/>
        <v>219.15364540834997</v>
      </c>
      <c r="H112" s="25"/>
      <c r="I112" s="25"/>
      <c r="J112" s="25"/>
      <c r="K112" s="25"/>
      <c r="L112" s="25"/>
      <c r="M112" s="25"/>
      <c r="N112" s="25"/>
      <c r="O112" s="25"/>
      <c r="P112" s="25"/>
      <c r="Q112" s="25"/>
    </row>
    <row r="113" spans="1:17" outlineLevel="3" x14ac:dyDescent="0.3">
      <c r="A113" s="176" t="s">
        <v>96</v>
      </c>
      <c r="B113" s="175">
        <f t="shared" ref="B113:G113" si="19">SUM(B$114:B$119)</f>
        <v>190.85308737639002</v>
      </c>
      <c r="C113" s="175">
        <f t="shared" si="19"/>
        <v>221.66375750545001</v>
      </c>
      <c r="D113" s="175">
        <f t="shared" si="19"/>
        <v>186.07888667076</v>
      </c>
      <c r="E113" s="175">
        <f t="shared" si="19"/>
        <v>191.23700154050002</v>
      </c>
      <c r="F113" s="175">
        <f t="shared" si="19"/>
        <v>160.72856170807</v>
      </c>
      <c r="G113" s="175">
        <f t="shared" si="19"/>
        <v>136.28570344675998</v>
      </c>
      <c r="H113" s="25"/>
      <c r="I113" s="25"/>
      <c r="J113" s="25"/>
      <c r="K113" s="25"/>
      <c r="L113" s="25"/>
      <c r="M113" s="25"/>
      <c r="N113" s="25"/>
      <c r="O113" s="25"/>
      <c r="P113" s="25"/>
      <c r="Q113" s="25"/>
    </row>
    <row r="114" spans="1:17" outlineLevel="4" x14ac:dyDescent="0.3">
      <c r="A114" s="174" t="s">
        <v>156</v>
      </c>
      <c r="B114" s="175">
        <v>2.6421999999999999</v>
      </c>
      <c r="C114" s="175">
        <v>6.9479199999999999</v>
      </c>
      <c r="D114" s="175">
        <v>9.2767800000000005</v>
      </c>
      <c r="E114" s="175">
        <v>11.6853</v>
      </c>
      <c r="F114" s="175">
        <v>12.662369999999999</v>
      </c>
      <c r="G114" s="175">
        <v>13.17798</v>
      </c>
      <c r="H114" s="25"/>
      <c r="I114" s="25"/>
      <c r="J114" s="25"/>
      <c r="K114" s="25"/>
      <c r="L114" s="25"/>
      <c r="M114" s="25"/>
      <c r="N114" s="25"/>
      <c r="O114" s="25"/>
      <c r="P114" s="25"/>
      <c r="Q114" s="25"/>
    </row>
    <row r="115" spans="1:17" outlineLevel="4" x14ac:dyDescent="0.3">
      <c r="A115" s="174" t="s">
        <v>99</v>
      </c>
      <c r="B115" s="175">
        <v>7.9946693819899997</v>
      </c>
      <c r="C115" s="175">
        <v>10.432493581479999</v>
      </c>
      <c r="D115" s="175">
        <v>9.2796015706299997</v>
      </c>
      <c r="E115" s="175">
        <v>22.173127630060002</v>
      </c>
      <c r="F115" s="175">
        <v>42.482597292279998</v>
      </c>
      <c r="G115" s="175">
        <v>45.32443061531</v>
      </c>
      <c r="H115" s="25"/>
      <c r="I115" s="25"/>
      <c r="J115" s="25"/>
      <c r="K115" s="25"/>
      <c r="L115" s="25"/>
      <c r="M115" s="25"/>
      <c r="N115" s="25"/>
      <c r="O115" s="25"/>
      <c r="P115" s="25"/>
      <c r="Q115" s="25"/>
    </row>
    <row r="116" spans="1:17" outlineLevel="4" x14ac:dyDescent="0.3">
      <c r="A116" s="174" t="s">
        <v>100</v>
      </c>
      <c r="B116" s="175">
        <v>1.4470008299999999</v>
      </c>
      <c r="C116" s="175">
        <v>1.9025141940000001</v>
      </c>
      <c r="D116" s="175">
        <v>1.685745539</v>
      </c>
      <c r="E116" s="175">
        <v>4.0027995150000004</v>
      </c>
      <c r="F116" s="175">
        <v>4.2488582534999999</v>
      </c>
      <c r="G116" s="175">
        <v>8.0852744912300007</v>
      </c>
      <c r="H116" s="25"/>
      <c r="I116" s="25"/>
      <c r="J116" s="25"/>
      <c r="K116" s="25"/>
      <c r="L116" s="25"/>
      <c r="M116" s="25"/>
      <c r="N116" s="25"/>
      <c r="O116" s="25"/>
      <c r="P116" s="25"/>
      <c r="Q116" s="25"/>
    </row>
    <row r="117" spans="1:17" outlineLevel="4" x14ac:dyDescent="0.3">
      <c r="A117" s="174" t="s">
        <v>103</v>
      </c>
      <c r="B117" s="175">
        <v>10.8254236629</v>
      </c>
      <c r="C117" s="175">
        <v>12.66957612263</v>
      </c>
      <c r="D117" s="175">
        <v>12.77248679523</v>
      </c>
      <c r="E117" s="175">
        <v>17.16922751996</v>
      </c>
      <c r="F117" s="175">
        <v>20.401384690299999</v>
      </c>
      <c r="G117" s="175">
        <v>21.577228281509999</v>
      </c>
      <c r="H117" s="25"/>
      <c r="I117" s="25"/>
      <c r="J117" s="25"/>
      <c r="K117" s="25"/>
      <c r="L117" s="25"/>
      <c r="M117" s="25"/>
      <c r="N117" s="25"/>
      <c r="O117" s="25"/>
      <c r="P117" s="25"/>
      <c r="Q117" s="25"/>
    </row>
    <row r="118" spans="1:17" outlineLevel="4" x14ac:dyDescent="0.3">
      <c r="A118" s="174" t="s">
        <v>104</v>
      </c>
      <c r="B118" s="175">
        <v>167.94379350150001</v>
      </c>
      <c r="C118" s="175">
        <v>189.71125360734001</v>
      </c>
      <c r="D118" s="175">
        <v>153.0642727659</v>
      </c>
      <c r="E118" s="175">
        <v>136.20086235975</v>
      </c>
      <c r="F118" s="175">
        <v>80.927352987519996</v>
      </c>
      <c r="G118" s="175">
        <v>48.108513283420002</v>
      </c>
      <c r="H118" s="25"/>
      <c r="I118" s="25"/>
      <c r="J118" s="25"/>
      <c r="K118" s="25"/>
      <c r="L118" s="25"/>
      <c r="M118" s="25"/>
      <c r="N118" s="25"/>
      <c r="O118" s="25"/>
      <c r="P118" s="25"/>
      <c r="Q118" s="25"/>
    </row>
    <row r="119" spans="1:17" outlineLevel="4" x14ac:dyDescent="0.3">
      <c r="A119" s="174" t="s">
        <v>105</v>
      </c>
      <c r="B119" s="175">
        <v>0</v>
      </c>
      <c r="C119" s="175">
        <v>0</v>
      </c>
      <c r="D119" s="175">
        <v>0</v>
      </c>
      <c r="E119" s="175">
        <v>5.6845157299999999E-3</v>
      </c>
      <c r="F119" s="175">
        <v>5.99848447E-3</v>
      </c>
      <c r="G119" s="175">
        <v>1.227677529E-2</v>
      </c>
      <c r="H119" s="25"/>
      <c r="I119" s="25"/>
      <c r="J119" s="25"/>
      <c r="K119" s="25"/>
      <c r="L119" s="25"/>
      <c r="M119" s="25"/>
      <c r="N119" s="25"/>
      <c r="O119" s="25"/>
      <c r="P119" s="25"/>
      <c r="Q119" s="25"/>
    </row>
    <row r="120" spans="1:17" outlineLevel="3" x14ac:dyDescent="0.3">
      <c r="A120" s="176" t="s">
        <v>157</v>
      </c>
      <c r="B120" s="175">
        <f t="shared" ref="B120:G120" si="20">SUM(B$121:B$122)</f>
        <v>28.423439999999999</v>
      </c>
      <c r="C120" s="175">
        <f t="shared" si="20"/>
        <v>29.688330000000001</v>
      </c>
      <c r="D120" s="175">
        <f t="shared" si="20"/>
        <v>24.550380000000001</v>
      </c>
      <c r="E120" s="175">
        <f t="shared" si="20"/>
        <v>30.169094999999999</v>
      </c>
      <c r="F120" s="175">
        <f t="shared" si="20"/>
        <v>32.463972362509999</v>
      </c>
      <c r="G120" s="175">
        <f t="shared" si="20"/>
        <v>36.060648373310002</v>
      </c>
      <c r="H120" s="25"/>
      <c r="I120" s="25"/>
      <c r="J120" s="25"/>
      <c r="K120" s="25"/>
      <c r="L120" s="25"/>
      <c r="M120" s="25"/>
      <c r="N120" s="25"/>
      <c r="O120" s="25"/>
      <c r="P120" s="25"/>
      <c r="Q120" s="25"/>
    </row>
    <row r="121" spans="1:17" outlineLevel="4" x14ac:dyDescent="0.3">
      <c r="A121" s="174" t="s">
        <v>158</v>
      </c>
      <c r="B121" s="175">
        <v>28.423439999999999</v>
      </c>
      <c r="C121" s="175">
        <v>29.688330000000001</v>
      </c>
      <c r="D121" s="175">
        <v>24.550380000000001</v>
      </c>
      <c r="E121" s="175">
        <v>30.169094999999999</v>
      </c>
      <c r="F121" s="175">
        <v>31.33548</v>
      </c>
      <c r="G121" s="175">
        <v>34.682175000000001</v>
      </c>
      <c r="H121" s="25"/>
      <c r="I121" s="25"/>
      <c r="J121" s="25"/>
      <c r="K121" s="25"/>
      <c r="L121" s="25"/>
      <c r="M121" s="25"/>
      <c r="N121" s="25"/>
      <c r="O121" s="25"/>
      <c r="P121" s="25"/>
      <c r="Q121" s="25"/>
    </row>
    <row r="122" spans="1:17" outlineLevel="4" x14ac:dyDescent="0.3">
      <c r="A122" s="174" t="s">
        <v>111</v>
      </c>
      <c r="B122" s="175">
        <v>0</v>
      </c>
      <c r="C122" s="175">
        <v>0</v>
      </c>
      <c r="D122" s="175">
        <v>0</v>
      </c>
      <c r="E122" s="175">
        <v>0</v>
      </c>
      <c r="F122" s="175">
        <v>1.1284923625100001</v>
      </c>
      <c r="G122" s="175">
        <v>1.3784733733100001</v>
      </c>
      <c r="H122" s="25"/>
      <c r="I122" s="25"/>
      <c r="J122" s="25"/>
      <c r="K122" s="25"/>
      <c r="L122" s="25"/>
      <c r="M122" s="25"/>
      <c r="N122" s="25"/>
      <c r="O122" s="25"/>
      <c r="P122" s="25"/>
      <c r="Q122" s="25"/>
    </row>
    <row r="123" spans="1:17" outlineLevel="3" x14ac:dyDescent="0.3">
      <c r="A123" s="176" t="s">
        <v>119</v>
      </c>
      <c r="B123" s="175">
        <f t="shared" ref="B123:G123" si="21">SUM(B$124:B$128)</f>
        <v>5.6298372907100003</v>
      </c>
      <c r="C123" s="175">
        <f t="shared" si="21"/>
        <v>5.7441543338300001</v>
      </c>
      <c r="D123" s="175">
        <f t="shared" si="21"/>
        <v>4.9631423273299999</v>
      </c>
      <c r="E123" s="175">
        <f t="shared" si="21"/>
        <v>7.09944966691</v>
      </c>
      <c r="F123" s="175">
        <f t="shared" si="21"/>
        <v>7.4799616972800003</v>
      </c>
      <c r="G123" s="175">
        <f t="shared" si="21"/>
        <v>7.6600232181100001</v>
      </c>
      <c r="H123" s="25"/>
      <c r="I123" s="25"/>
      <c r="J123" s="25"/>
      <c r="K123" s="25"/>
      <c r="L123" s="25"/>
      <c r="M123" s="25"/>
      <c r="N123" s="25"/>
      <c r="O123" s="25"/>
      <c r="P123" s="25"/>
      <c r="Q123" s="25"/>
    </row>
    <row r="124" spans="1:17" outlineLevel="4" x14ac:dyDescent="0.3">
      <c r="A124" s="174" t="s">
        <v>159</v>
      </c>
      <c r="B124" s="175">
        <v>3.43046205458</v>
      </c>
      <c r="C124" s="175">
        <v>4.9365827108299998</v>
      </c>
      <c r="D124" s="175">
        <v>4.4761919675000001</v>
      </c>
      <c r="E124" s="175">
        <v>6.8946523524199996</v>
      </c>
      <c r="F124" s="175">
        <v>7.4799616972800003</v>
      </c>
      <c r="G124" s="175">
        <v>7.6600232181100001</v>
      </c>
      <c r="H124" s="25"/>
      <c r="I124" s="25"/>
      <c r="J124" s="25"/>
      <c r="K124" s="25"/>
      <c r="L124" s="25"/>
      <c r="M124" s="25"/>
      <c r="N124" s="25"/>
      <c r="O124" s="25"/>
      <c r="P124" s="25"/>
      <c r="Q124" s="25"/>
    </row>
    <row r="125" spans="1:17" outlineLevel="4" x14ac:dyDescent="0.3">
      <c r="A125" s="174" t="s">
        <v>124</v>
      </c>
      <c r="B125" s="175">
        <v>0.71897552226000006</v>
      </c>
      <c r="C125" s="175">
        <v>0.80757162299999996</v>
      </c>
      <c r="D125" s="175">
        <v>0.48695035983000001</v>
      </c>
      <c r="E125" s="175">
        <v>0.20479731448999999</v>
      </c>
      <c r="F125" s="175">
        <v>0</v>
      </c>
      <c r="G125" s="175">
        <v>0</v>
      </c>
      <c r="H125" s="25"/>
      <c r="I125" s="25"/>
      <c r="J125" s="25"/>
      <c r="K125" s="25"/>
      <c r="L125" s="25"/>
      <c r="M125" s="25"/>
      <c r="N125" s="25"/>
      <c r="O125" s="25"/>
      <c r="P125" s="25"/>
      <c r="Q125" s="25"/>
    </row>
    <row r="126" spans="1:17" outlineLevel="4" x14ac:dyDescent="0.3">
      <c r="A126" s="174" t="s">
        <v>160</v>
      </c>
      <c r="B126" s="175">
        <v>0.22458699762000001</v>
      </c>
      <c r="C126" s="175">
        <v>0</v>
      </c>
      <c r="D126" s="175">
        <v>0</v>
      </c>
      <c r="E126" s="175">
        <v>0</v>
      </c>
      <c r="F126" s="175">
        <v>0</v>
      </c>
      <c r="G126" s="175">
        <v>0</v>
      </c>
      <c r="H126" s="25"/>
      <c r="I126" s="25"/>
      <c r="J126" s="25"/>
      <c r="K126" s="25"/>
      <c r="L126" s="25"/>
      <c r="M126" s="25"/>
      <c r="N126" s="25"/>
      <c r="O126" s="25"/>
      <c r="P126" s="25"/>
      <c r="Q126" s="25"/>
    </row>
    <row r="127" spans="1:17" outlineLevel="4" x14ac:dyDescent="0.3">
      <c r="A127" s="174" t="s">
        <v>161</v>
      </c>
      <c r="B127" s="175">
        <v>0.48319847999999999</v>
      </c>
      <c r="C127" s="175">
        <v>0</v>
      </c>
      <c r="D127" s="175">
        <v>0</v>
      </c>
      <c r="E127" s="175">
        <v>0</v>
      </c>
      <c r="F127" s="175">
        <v>0</v>
      </c>
      <c r="G127" s="175">
        <v>0</v>
      </c>
      <c r="H127" s="25"/>
      <c r="I127" s="25"/>
      <c r="J127" s="25"/>
      <c r="K127" s="25"/>
      <c r="L127" s="25"/>
      <c r="M127" s="25"/>
      <c r="N127" s="25"/>
      <c r="O127" s="25"/>
      <c r="P127" s="25"/>
      <c r="Q127" s="25"/>
    </row>
    <row r="128" spans="1:17" outlineLevel="4" x14ac:dyDescent="0.3">
      <c r="A128" s="174" t="s">
        <v>162</v>
      </c>
      <c r="B128" s="175">
        <v>0.77261423625000003</v>
      </c>
      <c r="C128" s="175">
        <v>0</v>
      </c>
      <c r="D128" s="175">
        <v>0</v>
      </c>
      <c r="E128" s="175">
        <v>0</v>
      </c>
      <c r="F128" s="175">
        <v>0</v>
      </c>
      <c r="G128" s="175">
        <v>0</v>
      </c>
      <c r="H128" s="25"/>
      <c r="I128" s="25"/>
      <c r="J128" s="25"/>
      <c r="K128" s="25"/>
      <c r="L128" s="25"/>
      <c r="M128" s="25"/>
      <c r="N128" s="25"/>
      <c r="O128" s="25"/>
      <c r="P128" s="25"/>
      <c r="Q128" s="25"/>
    </row>
    <row r="129" spans="1:17" outlineLevel="3" x14ac:dyDescent="0.3">
      <c r="A129" s="176" t="s">
        <v>163</v>
      </c>
      <c r="B129" s="175">
        <f t="shared" ref="B129:G129" si="22">SUM(B$130:B$131)</f>
        <v>0</v>
      </c>
      <c r="C129" s="175">
        <f t="shared" si="22"/>
        <v>0</v>
      </c>
      <c r="D129" s="175">
        <f t="shared" si="22"/>
        <v>41.599254999999999</v>
      </c>
      <c r="E129" s="175">
        <f t="shared" si="22"/>
        <v>55.767115000000004</v>
      </c>
      <c r="F129" s="175">
        <f t="shared" si="22"/>
        <v>57.923159999999996</v>
      </c>
      <c r="G129" s="175">
        <f t="shared" si="22"/>
        <v>34.682175000000001</v>
      </c>
      <c r="H129" s="25"/>
      <c r="I129" s="25"/>
      <c r="J129" s="25"/>
      <c r="K129" s="25"/>
      <c r="L129" s="25"/>
      <c r="M129" s="25"/>
      <c r="N129" s="25"/>
      <c r="O129" s="25"/>
      <c r="P129" s="25"/>
      <c r="Q129" s="25"/>
    </row>
    <row r="130" spans="1:17" outlineLevel="4" x14ac:dyDescent="0.3">
      <c r="A130" s="174" t="s">
        <v>164</v>
      </c>
      <c r="B130" s="175">
        <v>0</v>
      </c>
      <c r="C130" s="175">
        <v>0</v>
      </c>
      <c r="D130" s="175">
        <v>19.094740000000002</v>
      </c>
      <c r="E130" s="175">
        <v>25.598020000000002</v>
      </c>
      <c r="F130" s="175">
        <v>26.587679999999999</v>
      </c>
      <c r="G130" s="175">
        <v>0</v>
      </c>
      <c r="H130" s="25"/>
      <c r="I130" s="25"/>
      <c r="J130" s="25"/>
      <c r="K130" s="25"/>
      <c r="L130" s="25"/>
      <c r="M130" s="25"/>
      <c r="N130" s="25"/>
      <c r="O130" s="25"/>
      <c r="P130" s="25"/>
      <c r="Q130" s="25"/>
    </row>
    <row r="131" spans="1:17" outlineLevel="4" x14ac:dyDescent="0.3">
      <c r="A131" s="174" t="s">
        <v>165</v>
      </c>
      <c r="B131" s="175">
        <v>0</v>
      </c>
      <c r="C131" s="175">
        <v>0</v>
      </c>
      <c r="D131" s="175">
        <v>22.504515000000001</v>
      </c>
      <c r="E131" s="175">
        <v>30.169094999999999</v>
      </c>
      <c r="F131" s="175">
        <v>31.33548</v>
      </c>
      <c r="G131" s="175">
        <v>34.682175000000001</v>
      </c>
      <c r="H131" s="25"/>
      <c r="I131" s="25"/>
      <c r="J131" s="25"/>
      <c r="K131" s="25"/>
      <c r="L131" s="25"/>
      <c r="M131" s="25"/>
      <c r="N131" s="25"/>
      <c r="O131" s="25"/>
      <c r="P131" s="25"/>
      <c r="Q131" s="25"/>
    </row>
    <row r="132" spans="1:17" outlineLevel="3" x14ac:dyDescent="0.3">
      <c r="A132" s="176" t="s">
        <v>137</v>
      </c>
      <c r="B132" s="175">
        <f t="shared" ref="B132:G132" si="23">SUM(B$133:B$133)</f>
        <v>2.6675892085399999</v>
      </c>
      <c r="C132" s="175">
        <f t="shared" si="23"/>
        <v>3.31662108491</v>
      </c>
      <c r="D132" s="175">
        <f t="shared" si="23"/>
        <v>3.1093790512499999</v>
      </c>
      <c r="E132" s="175">
        <f t="shared" si="23"/>
        <v>3.9636138627099999</v>
      </c>
      <c r="F132" s="175">
        <f t="shared" si="23"/>
        <v>4.1503421753399996</v>
      </c>
      <c r="G132" s="175">
        <f t="shared" si="23"/>
        <v>4.4650953701700002</v>
      </c>
      <c r="H132" s="25"/>
      <c r="I132" s="25"/>
      <c r="J132" s="25"/>
      <c r="K132" s="25"/>
      <c r="L132" s="25"/>
      <c r="M132" s="25"/>
      <c r="N132" s="25"/>
      <c r="O132" s="25"/>
      <c r="P132" s="25"/>
      <c r="Q132" s="25"/>
    </row>
    <row r="133" spans="1:17" outlineLevel="4" x14ac:dyDescent="0.3">
      <c r="A133" s="174" t="s">
        <v>104</v>
      </c>
      <c r="B133" s="175">
        <v>2.6675892085399999</v>
      </c>
      <c r="C133" s="175">
        <v>3.31662108491</v>
      </c>
      <c r="D133" s="175">
        <v>3.1093790512499999</v>
      </c>
      <c r="E133" s="175">
        <v>3.9636138627099999</v>
      </c>
      <c r="F133" s="175">
        <v>4.1503421753399996</v>
      </c>
      <c r="G133" s="175">
        <v>4.4650953701700002</v>
      </c>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indexed="50"/>
    <outlinePr applyStyles="1" summaryBelow="0"/>
    <pageSetUpPr fitToPage="1"/>
  </sheetPr>
  <dimension ref="A2:S168"/>
  <sheetViews>
    <sheetView tabSelected="1" workbookViewId="0">
      <selection activeCell="A6" sqref="A6"/>
    </sheetView>
  </sheetViews>
  <sheetFormatPr defaultColWidth="9.1796875" defaultRowHeight="13" outlineLevelRow="4" x14ac:dyDescent="0.3"/>
  <cols>
    <col min="1" max="1" width="52" style="21" customWidth="1"/>
    <col min="2" max="7" width="15.1796875" style="22" customWidth="1"/>
    <col min="8" max="8" width="9.1796875" style="21" customWidth="1"/>
    <col min="9" max="16384" width="9.1796875" style="21"/>
  </cols>
  <sheetData>
    <row r="2" spans="1:19" ht="18.5" x14ac:dyDescent="0.45">
      <c r="A2" s="278"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B2" s="280"/>
      <c r="C2" s="280"/>
      <c r="D2" s="280"/>
      <c r="E2" s="280"/>
      <c r="F2" s="280"/>
      <c r="G2" s="280"/>
      <c r="H2" s="25"/>
      <c r="I2" s="25"/>
      <c r="J2" s="25"/>
      <c r="K2" s="25"/>
      <c r="L2" s="25"/>
      <c r="M2" s="25"/>
      <c r="N2" s="25"/>
      <c r="O2" s="25"/>
      <c r="P2" s="25"/>
      <c r="Q2" s="25"/>
      <c r="R2" s="25"/>
      <c r="S2" s="25"/>
    </row>
    <row r="3" spans="1:19" x14ac:dyDescent="0.3">
      <c r="A3" s="23"/>
    </row>
    <row r="4" spans="1:19" s="26" customFormat="1" x14ac:dyDescent="0.3">
      <c r="B4" s="27"/>
      <c r="C4" s="27"/>
      <c r="D4" s="27"/>
      <c r="E4" s="27"/>
      <c r="F4" s="27"/>
      <c r="G4" s="26" t="str">
        <f>VALUSD</f>
        <v>млрд. дол. США</v>
      </c>
    </row>
    <row r="5" spans="1:19" s="13" customFormat="1" x14ac:dyDescent="0.25">
      <c r="A5" s="11"/>
      <c r="B5" s="12">
        <v>43830</v>
      </c>
      <c r="C5" s="12">
        <v>44196</v>
      </c>
      <c r="D5" s="12">
        <v>44561</v>
      </c>
      <c r="E5" s="12">
        <v>44926</v>
      </c>
      <c r="F5" s="12">
        <v>45291</v>
      </c>
      <c r="G5" s="12">
        <v>45657</v>
      </c>
    </row>
    <row r="6" spans="1:19" s="14" customFormat="1" ht="31" x14ac:dyDescent="0.25">
      <c r="A6" s="140"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0">
        <f t="shared" ref="B6:G6" si="0">B$90+B$7</f>
        <v>84.365406859860016</v>
      </c>
      <c r="C6" s="20">
        <f t="shared" si="0"/>
        <v>90.253504035260008</v>
      </c>
      <c r="D6" s="20">
        <f t="shared" si="0"/>
        <v>97.955877598960015</v>
      </c>
      <c r="E6" s="20">
        <f t="shared" si="0"/>
        <v>111.44992803011999</v>
      </c>
      <c r="F6" s="20">
        <f t="shared" si="0"/>
        <v>145.32087120895997</v>
      </c>
      <c r="G6" s="20">
        <f t="shared" si="0"/>
        <v>166.05851744312002</v>
      </c>
    </row>
    <row r="7" spans="1:19" s="15" customFormat="1" ht="14.5" outlineLevel="1" x14ac:dyDescent="0.25">
      <c r="A7" s="181" t="s">
        <v>1</v>
      </c>
      <c r="B7" s="182">
        <f t="shared" ref="B7:G7" si="1">B$8+B$46</f>
        <v>74.362672420240017</v>
      </c>
      <c r="C7" s="182">
        <f t="shared" si="1"/>
        <v>79.903217077660003</v>
      </c>
      <c r="D7" s="182">
        <f t="shared" si="1"/>
        <v>86.615691312520013</v>
      </c>
      <c r="E7" s="182">
        <f t="shared" si="1"/>
        <v>101.59354286954999</v>
      </c>
      <c r="F7" s="182">
        <f t="shared" si="1"/>
        <v>136.59196737240998</v>
      </c>
      <c r="G7" s="182">
        <f t="shared" si="1"/>
        <v>159.19557804599003</v>
      </c>
    </row>
    <row r="8" spans="1:19" s="16" customFormat="1" ht="14.5" outlineLevel="2" x14ac:dyDescent="0.25">
      <c r="A8" s="183" t="s">
        <v>57</v>
      </c>
      <c r="B8" s="184">
        <f t="shared" ref="B8:G8" si="2">B$9+B$44</f>
        <v>35.020184952060006</v>
      </c>
      <c r="C8" s="184">
        <f t="shared" si="2"/>
        <v>35.392538767910004</v>
      </c>
      <c r="D8" s="184">
        <f t="shared" si="2"/>
        <v>38.952681436220011</v>
      </c>
      <c r="E8" s="184">
        <f t="shared" si="2"/>
        <v>38.00228207715999</v>
      </c>
      <c r="F8" s="184">
        <f t="shared" si="2"/>
        <v>41.80087579141999</v>
      </c>
      <c r="G8" s="184">
        <f t="shared" si="2"/>
        <v>44.319135028530013</v>
      </c>
    </row>
    <row r="9" spans="1:19" s="17" customFormat="1" outlineLevel="3" x14ac:dyDescent="0.25">
      <c r="A9" s="171" t="s">
        <v>58</v>
      </c>
      <c r="B9" s="172">
        <f t="shared" ref="B9:G9" si="3">SUM(B$10:B$43)</f>
        <v>34.930848530000006</v>
      </c>
      <c r="C9" s="172">
        <f t="shared" si="3"/>
        <v>35.322377285950004</v>
      </c>
      <c r="D9" s="172">
        <f t="shared" si="3"/>
        <v>38.884805428450008</v>
      </c>
      <c r="E9" s="172">
        <f t="shared" si="3"/>
        <v>37.955266801959986</v>
      </c>
      <c r="F9" s="172">
        <f t="shared" si="3"/>
        <v>41.759092484669992</v>
      </c>
      <c r="G9" s="172">
        <f t="shared" si="3"/>
        <v>44.284529596720013</v>
      </c>
    </row>
    <row r="10" spans="1:19" s="37" customFormat="1" outlineLevel="4" x14ac:dyDescent="0.25">
      <c r="A10" s="173" t="s">
        <v>59</v>
      </c>
      <c r="B10" s="165">
        <v>3.0702229567899999</v>
      </c>
      <c r="C10" s="165">
        <v>2.5383883414600001</v>
      </c>
      <c r="D10" s="165">
        <v>2.9816281866000001</v>
      </c>
      <c r="E10" s="165">
        <v>2.22413354628</v>
      </c>
      <c r="F10" s="165">
        <v>1.9851676302800001</v>
      </c>
      <c r="G10" s="165">
        <v>1.39466778468</v>
      </c>
    </row>
    <row r="11" spans="1:19" outlineLevel="4" x14ac:dyDescent="0.3">
      <c r="A11" s="174" t="s">
        <v>60</v>
      </c>
      <c r="B11" s="175">
        <v>0.80354805750000002</v>
      </c>
      <c r="C11" s="175">
        <v>0.67314833805999996</v>
      </c>
      <c r="D11" s="175">
        <v>0.64274768862999998</v>
      </c>
      <c r="E11" s="175">
        <v>0.47945505163000002</v>
      </c>
      <c r="F11" s="175">
        <v>0.46160853447</v>
      </c>
      <c r="G11" s="175">
        <v>0.41706510620999998</v>
      </c>
      <c r="H11" s="25"/>
      <c r="I11" s="25"/>
      <c r="J11" s="25"/>
      <c r="K11" s="25"/>
      <c r="L11" s="25"/>
      <c r="M11" s="25"/>
      <c r="N11" s="25"/>
      <c r="O11" s="25"/>
      <c r="P11" s="25"/>
      <c r="Q11" s="25"/>
    </row>
    <row r="12" spans="1:19" outlineLevel="4" x14ac:dyDescent="0.3">
      <c r="A12" s="174" t="s">
        <v>61</v>
      </c>
      <c r="B12" s="175">
        <v>1.59467773396</v>
      </c>
      <c r="C12" s="175">
        <v>1.96742521474</v>
      </c>
      <c r="D12" s="175">
        <v>3.5161637729300002</v>
      </c>
      <c r="E12" s="175">
        <v>1.47136659314</v>
      </c>
      <c r="F12" s="175">
        <v>3.2715826405300001</v>
      </c>
      <c r="G12" s="175">
        <v>9.0706825079999998E-2</v>
      </c>
      <c r="H12" s="25"/>
      <c r="I12" s="25"/>
      <c r="J12" s="25"/>
      <c r="K12" s="25"/>
      <c r="L12" s="25"/>
      <c r="M12" s="25"/>
      <c r="N12" s="25"/>
      <c r="O12" s="25"/>
      <c r="P12" s="25"/>
      <c r="Q12" s="25"/>
    </row>
    <row r="13" spans="1:19" outlineLevel="4" x14ac:dyDescent="0.3">
      <c r="A13" s="174" t="s">
        <v>62</v>
      </c>
      <c r="B13" s="175">
        <v>1.54098166862</v>
      </c>
      <c r="C13" s="175">
        <v>1.29091127722</v>
      </c>
      <c r="D13" s="175">
        <v>1.3380648283200001</v>
      </c>
      <c r="E13" s="175">
        <v>1.36729325161</v>
      </c>
      <c r="F13" s="175">
        <v>1.3163991743700001</v>
      </c>
      <c r="G13" s="175">
        <v>1.18937177385</v>
      </c>
      <c r="H13" s="25"/>
      <c r="I13" s="25"/>
      <c r="J13" s="25"/>
      <c r="K13" s="25"/>
      <c r="L13" s="25"/>
      <c r="M13" s="25"/>
      <c r="N13" s="25"/>
      <c r="O13" s="25"/>
      <c r="P13" s="25"/>
      <c r="Q13" s="25"/>
    </row>
    <row r="14" spans="1:19" outlineLevel="4" x14ac:dyDescent="0.3">
      <c r="A14" s="174" t="s">
        <v>63</v>
      </c>
      <c r="B14" s="175">
        <v>1.2116760391900001</v>
      </c>
      <c r="C14" s="175">
        <v>1.01504534102</v>
      </c>
      <c r="D14" s="175">
        <v>1.05212224414</v>
      </c>
      <c r="E14" s="175">
        <v>0.92155567894000001</v>
      </c>
      <c r="F14" s="175">
        <v>0.88725306985999997</v>
      </c>
      <c r="G14" s="175">
        <v>0.80163659936999998</v>
      </c>
      <c r="H14" s="25"/>
      <c r="I14" s="25"/>
      <c r="J14" s="25"/>
      <c r="K14" s="25"/>
      <c r="L14" s="25"/>
      <c r="M14" s="25"/>
      <c r="N14" s="25"/>
      <c r="O14" s="25"/>
      <c r="P14" s="25"/>
      <c r="Q14" s="25"/>
    </row>
    <row r="15" spans="1:19" outlineLevel="4" x14ac:dyDescent="0.3">
      <c r="A15" s="174" t="s">
        <v>64</v>
      </c>
      <c r="B15" s="175">
        <v>1.98005589748</v>
      </c>
      <c r="C15" s="175">
        <v>1.65873257264</v>
      </c>
      <c r="D15" s="175">
        <v>1.71932165613</v>
      </c>
      <c r="E15" s="175">
        <v>1.28252107002</v>
      </c>
      <c r="F15" s="175">
        <v>1.23478242557</v>
      </c>
      <c r="G15" s="175">
        <v>1.1156307239000001</v>
      </c>
      <c r="H15" s="25"/>
      <c r="I15" s="25"/>
      <c r="J15" s="25"/>
      <c r="K15" s="25"/>
      <c r="L15" s="25"/>
      <c r="M15" s="25"/>
      <c r="N15" s="25"/>
      <c r="O15" s="25"/>
      <c r="P15" s="25"/>
      <c r="Q15" s="25"/>
    </row>
    <row r="16" spans="1:19" outlineLevel="4" x14ac:dyDescent="0.3">
      <c r="A16" s="174" t="s">
        <v>65</v>
      </c>
      <c r="B16" s="175">
        <v>3.9448563720599998</v>
      </c>
      <c r="C16" s="175">
        <v>3.5465986079</v>
      </c>
      <c r="D16" s="175">
        <v>4.2928769860499996</v>
      </c>
      <c r="E16" s="175">
        <v>6.4837581148799996</v>
      </c>
      <c r="F16" s="175">
        <v>6.2424164086299996</v>
      </c>
      <c r="G16" s="175">
        <v>5.3641408454299997</v>
      </c>
      <c r="H16" s="25"/>
      <c r="I16" s="25"/>
      <c r="J16" s="25"/>
      <c r="K16" s="25"/>
      <c r="L16" s="25"/>
      <c r="M16" s="25"/>
      <c r="N16" s="25"/>
      <c r="O16" s="25"/>
      <c r="P16" s="25"/>
      <c r="Q16" s="25"/>
    </row>
    <row r="17" spans="1:17" outlineLevel="4" x14ac:dyDescent="0.3">
      <c r="A17" s="174" t="s">
        <v>66</v>
      </c>
      <c r="B17" s="175">
        <v>0.51075073250000003</v>
      </c>
      <c r="C17" s="175">
        <v>0.42786614134000001</v>
      </c>
      <c r="D17" s="175">
        <v>0.44349495202</v>
      </c>
      <c r="E17" s="175">
        <v>0.33082327462</v>
      </c>
      <c r="F17" s="175">
        <v>0.31850920426000001</v>
      </c>
      <c r="G17" s="175">
        <v>0.28777430481999999</v>
      </c>
      <c r="H17" s="25"/>
      <c r="I17" s="25"/>
      <c r="J17" s="25"/>
      <c r="K17" s="25"/>
      <c r="L17" s="25"/>
      <c r="M17" s="25"/>
      <c r="N17" s="25"/>
      <c r="O17" s="25"/>
      <c r="P17" s="25"/>
      <c r="Q17" s="25"/>
    </row>
    <row r="18" spans="1:17" outlineLevel="4" x14ac:dyDescent="0.3">
      <c r="A18" s="174" t="s">
        <v>67</v>
      </c>
      <c r="B18" s="175">
        <v>0.51075073250000003</v>
      </c>
      <c r="C18" s="175">
        <v>0.42786614134000001</v>
      </c>
      <c r="D18" s="175">
        <v>0.44349495202</v>
      </c>
      <c r="E18" s="175">
        <v>0.74101125010000002</v>
      </c>
      <c r="F18" s="175">
        <v>0.71342895657000005</v>
      </c>
      <c r="G18" s="175">
        <v>0.64458583697000005</v>
      </c>
      <c r="H18" s="25"/>
      <c r="I18" s="25"/>
      <c r="J18" s="25"/>
      <c r="K18" s="25"/>
      <c r="L18" s="25"/>
      <c r="M18" s="25"/>
      <c r="N18" s="25"/>
      <c r="O18" s="25"/>
      <c r="P18" s="25"/>
      <c r="Q18" s="25"/>
    </row>
    <row r="19" spans="1:17" outlineLevel="4" x14ac:dyDescent="0.3">
      <c r="A19" s="174" t="s">
        <v>68</v>
      </c>
      <c r="B19" s="175">
        <v>1.3257462422599999</v>
      </c>
      <c r="C19" s="175">
        <v>1.4937057667</v>
      </c>
      <c r="D19" s="175">
        <v>2.9617775985099999</v>
      </c>
      <c r="E19" s="175">
        <v>1.90368219733</v>
      </c>
      <c r="F19" s="175">
        <v>1.5088939048200001</v>
      </c>
      <c r="G19" s="175">
        <v>6.77509038007</v>
      </c>
      <c r="H19" s="25"/>
      <c r="I19" s="25"/>
      <c r="J19" s="25"/>
      <c r="K19" s="25"/>
      <c r="L19" s="25"/>
      <c r="M19" s="25"/>
      <c r="N19" s="25"/>
      <c r="O19" s="25"/>
      <c r="P19" s="25"/>
      <c r="Q19" s="25"/>
    </row>
    <row r="20" spans="1:17" outlineLevel="4" x14ac:dyDescent="0.3">
      <c r="A20" s="174" t="s">
        <v>69</v>
      </c>
      <c r="B20" s="175">
        <v>0.51075073250000003</v>
      </c>
      <c r="C20" s="175">
        <v>0.42786614134000001</v>
      </c>
      <c r="D20" s="175">
        <v>0.44349495202</v>
      </c>
      <c r="E20" s="175">
        <v>0.33082327462</v>
      </c>
      <c r="F20" s="175">
        <v>0.31850920426000001</v>
      </c>
      <c r="G20" s="175">
        <v>0.28777430481999999</v>
      </c>
      <c r="H20" s="25"/>
      <c r="I20" s="25"/>
      <c r="J20" s="25"/>
      <c r="K20" s="25"/>
      <c r="L20" s="25"/>
      <c r="M20" s="25"/>
      <c r="N20" s="25"/>
      <c r="O20" s="25"/>
      <c r="P20" s="25"/>
      <c r="Q20" s="25"/>
    </row>
    <row r="21" spans="1:17" outlineLevel="4" x14ac:dyDescent="0.3">
      <c r="A21" s="174" t="s">
        <v>70</v>
      </c>
      <c r="B21" s="175">
        <v>0.51075073250000003</v>
      </c>
      <c r="C21" s="175">
        <v>0.42786614134000001</v>
      </c>
      <c r="D21" s="175">
        <v>0.44349495202</v>
      </c>
      <c r="E21" s="175">
        <v>0.33082327462</v>
      </c>
      <c r="F21" s="175">
        <v>0.31850920426000001</v>
      </c>
      <c r="G21" s="175">
        <v>0.28777430481999999</v>
      </c>
      <c r="H21" s="25"/>
      <c r="I21" s="25"/>
      <c r="J21" s="25"/>
      <c r="K21" s="25"/>
      <c r="L21" s="25"/>
      <c r="M21" s="25"/>
      <c r="N21" s="25"/>
      <c r="O21" s="25"/>
      <c r="P21" s="25"/>
      <c r="Q21" s="25"/>
    </row>
    <row r="22" spans="1:17" outlineLevel="4" x14ac:dyDescent="0.3">
      <c r="A22" s="174" t="s">
        <v>71</v>
      </c>
      <c r="B22" s="175">
        <v>1.9942664029399999</v>
      </c>
      <c r="C22" s="175">
        <v>3.6177396860700002</v>
      </c>
      <c r="D22" s="175">
        <v>2.2411606184299999</v>
      </c>
      <c r="E22" s="175">
        <v>1.6427051342200001</v>
      </c>
      <c r="F22" s="175">
        <v>5.0738630260099997</v>
      </c>
      <c r="G22" s="175">
        <v>6.7944584315099998</v>
      </c>
      <c r="H22" s="25"/>
      <c r="I22" s="25"/>
      <c r="J22" s="25"/>
      <c r="K22" s="25"/>
      <c r="L22" s="25"/>
      <c r="M22" s="25"/>
      <c r="N22" s="25"/>
      <c r="O22" s="25"/>
      <c r="P22" s="25"/>
      <c r="Q22" s="25"/>
    </row>
    <row r="23" spans="1:17" outlineLevel="4" x14ac:dyDescent="0.3">
      <c r="A23" s="174" t="s">
        <v>72</v>
      </c>
      <c r="B23" s="175">
        <v>0.51075073250000003</v>
      </c>
      <c r="C23" s="175">
        <v>0.42786614134000001</v>
      </c>
      <c r="D23" s="175">
        <v>0.44349495202</v>
      </c>
      <c r="E23" s="175">
        <v>0.33082327462</v>
      </c>
      <c r="F23" s="175">
        <v>0.31850920426000001</v>
      </c>
      <c r="G23" s="175">
        <v>0.28777430481999999</v>
      </c>
      <c r="H23" s="25"/>
      <c r="I23" s="25"/>
      <c r="J23" s="25"/>
      <c r="K23" s="25"/>
      <c r="L23" s="25"/>
      <c r="M23" s="25"/>
      <c r="N23" s="25"/>
      <c r="O23" s="25"/>
      <c r="P23" s="25"/>
      <c r="Q23" s="25"/>
    </row>
    <row r="24" spans="1:17" outlineLevel="4" x14ac:dyDescent="0.3">
      <c r="A24" s="174" t="s">
        <v>73</v>
      </c>
      <c r="B24" s="175">
        <v>0.51075073250000003</v>
      </c>
      <c r="C24" s="175">
        <v>0.42786614134000001</v>
      </c>
      <c r="D24" s="175">
        <v>0.44349495202</v>
      </c>
      <c r="E24" s="175">
        <v>0.33082327462</v>
      </c>
      <c r="F24" s="175">
        <v>0.31850920426000001</v>
      </c>
      <c r="G24" s="175">
        <v>0.28777430481999999</v>
      </c>
      <c r="H24" s="25"/>
      <c r="I24" s="25"/>
      <c r="J24" s="25"/>
      <c r="K24" s="25"/>
      <c r="L24" s="25"/>
      <c r="M24" s="25"/>
      <c r="N24" s="25"/>
      <c r="O24" s="25"/>
      <c r="P24" s="25"/>
      <c r="Q24" s="25"/>
    </row>
    <row r="25" spans="1:17" outlineLevel="4" x14ac:dyDescent="0.3">
      <c r="A25" s="174" t="s">
        <v>74</v>
      </c>
      <c r="B25" s="175">
        <v>0.51075073250000003</v>
      </c>
      <c r="C25" s="175">
        <v>0.42786614134000001</v>
      </c>
      <c r="D25" s="175">
        <v>0.44349495202</v>
      </c>
      <c r="E25" s="175">
        <v>0.33082327462</v>
      </c>
      <c r="F25" s="175">
        <v>0.31850920426000001</v>
      </c>
      <c r="G25" s="175">
        <v>0.28777430481999999</v>
      </c>
      <c r="H25" s="25"/>
      <c r="I25" s="25"/>
      <c r="J25" s="25"/>
      <c r="K25" s="25"/>
      <c r="L25" s="25"/>
      <c r="M25" s="25"/>
      <c r="N25" s="25"/>
      <c r="O25" s="25"/>
      <c r="P25" s="25"/>
      <c r="Q25" s="25"/>
    </row>
    <row r="26" spans="1:17" outlineLevel="4" x14ac:dyDescent="0.3">
      <c r="A26" s="174" t="s">
        <v>75</v>
      </c>
      <c r="B26" s="175">
        <v>0.51075073250000003</v>
      </c>
      <c r="C26" s="175">
        <v>0.42786614134000001</v>
      </c>
      <c r="D26" s="175">
        <v>0.44349495202</v>
      </c>
      <c r="E26" s="175">
        <v>0.33082327462</v>
      </c>
      <c r="F26" s="175">
        <v>0.31850920426000001</v>
      </c>
      <c r="G26" s="175">
        <v>0.28777430481999999</v>
      </c>
      <c r="H26" s="25"/>
      <c r="I26" s="25"/>
      <c r="J26" s="25"/>
      <c r="K26" s="25"/>
      <c r="L26" s="25"/>
      <c r="M26" s="25"/>
      <c r="N26" s="25"/>
      <c r="O26" s="25"/>
      <c r="P26" s="25"/>
      <c r="Q26" s="25"/>
    </row>
    <row r="27" spans="1:17" outlineLevel="4" x14ac:dyDescent="0.3">
      <c r="A27" s="174" t="s">
        <v>76</v>
      </c>
      <c r="B27" s="175">
        <v>0.51075073250000003</v>
      </c>
      <c r="C27" s="175">
        <v>0.42786614134000001</v>
      </c>
      <c r="D27" s="175">
        <v>0.44349495202</v>
      </c>
      <c r="E27" s="175">
        <v>0.33082327462</v>
      </c>
      <c r="F27" s="175">
        <v>0.31850920426000001</v>
      </c>
      <c r="G27" s="175">
        <v>0.28777430481999999</v>
      </c>
      <c r="H27" s="25"/>
      <c r="I27" s="25"/>
      <c r="J27" s="25"/>
      <c r="K27" s="25"/>
      <c r="L27" s="25"/>
      <c r="M27" s="25"/>
      <c r="N27" s="25"/>
      <c r="O27" s="25"/>
      <c r="P27" s="25"/>
      <c r="Q27" s="25"/>
    </row>
    <row r="28" spans="1:17" outlineLevel="4" x14ac:dyDescent="0.3">
      <c r="A28" s="174" t="s">
        <v>77</v>
      </c>
      <c r="B28" s="175">
        <v>0.51075073250000003</v>
      </c>
      <c r="C28" s="175">
        <v>0.42786614134000001</v>
      </c>
      <c r="D28" s="175">
        <v>0.44349495202</v>
      </c>
      <c r="E28" s="175">
        <v>0.33082327462</v>
      </c>
      <c r="F28" s="175">
        <v>0.31850920426000001</v>
      </c>
      <c r="G28" s="175">
        <v>0.28777430481999999</v>
      </c>
      <c r="H28" s="25"/>
      <c r="I28" s="25"/>
      <c r="J28" s="25"/>
      <c r="K28" s="25"/>
      <c r="L28" s="25"/>
      <c r="M28" s="25"/>
      <c r="N28" s="25"/>
      <c r="O28" s="25"/>
      <c r="P28" s="25"/>
      <c r="Q28" s="25"/>
    </row>
    <row r="29" spans="1:17" outlineLevel="4" x14ac:dyDescent="0.3">
      <c r="A29" s="174" t="s">
        <v>78</v>
      </c>
      <c r="B29" s="175">
        <v>0.51075073250000003</v>
      </c>
      <c r="C29" s="175">
        <v>0.42786614134000001</v>
      </c>
      <c r="D29" s="175">
        <v>0.44349495202</v>
      </c>
      <c r="E29" s="175">
        <v>0.33082327462</v>
      </c>
      <c r="F29" s="175">
        <v>0.31850920426000001</v>
      </c>
      <c r="G29" s="175">
        <v>0.28777430481999999</v>
      </c>
      <c r="H29" s="25"/>
      <c r="I29" s="25"/>
      <c r="J29" s="25"/>
      <c r="K29" s="25"/>
      <c r="L29" s="25"/>
      <c r="M29" s="25"/>
      <c r="N29" s="25"/>
      <c r="O29" s="25"/>
      <c r="P29" s="25"/>
      <c r="Q29" s="25"/>
    </row>
    <row r="30" spans="1:17" outlineLevel="4" x14ac:dyDescent="0.3">
      <c r="A30" s="174" t="s">
        <v>79</v>
      </c>
      <c r="B30" s="175">
        <v>0.51075073250000003</v>
      </c>
      <c r="C30" s="175">
        <v>0.42786614134000001</v>
      </c>
      <c r="D30" s="175">
        <v>0.44349495202</v>
      </c>
      <c r="E30" s="175">
        <v>0.33082327462</v>
      </c>
      <c r="F30" s="175">
        <v>0.31850920426000001</v>
      </c>
      <c r="G30" s="175">
        <v>0.28777430481999999</v>
      </c>
      <c r="H30" s="25"/>
      <c r="I30" s="25"/>
      <c r="J30" s="25"/>
      <c r="K30" s="25"/>
      <c r="L30" s="25"/>
      <c r="M30" s="25"/>
      <c r="N30" s="25"/>
      <c r="O30" s="25"/>
      <c r="P30" s="25"/>
      <c r="Q30" s="25"/>
    </row>
    <row r="31" spans="1:17" outlineLevel="4" x14ac:dyDescent="0.3">
      <c r="A31" s="174" t="s">
        <v>80</v>
      </c>
      <c r="B31" s="175">
        <v>0.51075073250000003</v>
      </c>
      <c r="C31" s="175">
        <v>0.42786614134000001</v>
      </c>
      <c r="D31" s="175">
        <v>0.44349495202</v>
      </c>
      <c r="E31" s="175">
        <v>0.33082327462</v>
      </c>
      <c r="F31" s="175">
        <v>0.31850920426000001</v>
      </c>
      <c r="G31" s="175">
        <v>0.28777430481999999</v>
      </c>
      <c r="H31" s="25"/>
      <c r="I31" s="25"/>
      <c r="J31" s="25"/>
      <c r="K31" s="25"/>
      <c r="L31" s="25"/>
      <c r="M31" s="25"/>
      <c r="N31" s="25"/>
      <c r="O31" s="25"/>
      <c r="P31" s="25"/>
      <c r="Q31" s="25"/>
    </row>
    <row r="32" spans="1:17" outlineLevel="4" x14ac:dyDescent="0.3">
      <c r="A32" s="174" t="s">
        <v>81</v>
      </c>
      <c r="B32" s="175">
        <v>0.51075073250000003</v>
      </c>
      <c r="C32" s="175">
        <v>0.42786614134000001</v>
      </c>
      <c r="D32" s="175">
        <v>0.44349495202</v>
      </c>
      <c r="E32" s="175">
        <v>0.33082327462</v>
      </c>
      <c r="F32" s="175">
        <v>0.31850920426000001</v>
      </c>
      <c r="G32" s="175">
        <v>0.28777430481999999</v>
      </c>
      <c r="H32" s="25"/>
      <c r="I32" s="25"/>
      <c r="J32" s="25"/>
      <c r="K32" s="25"/>
      <c r="L32" s="25"/>
      <c r="M32" s="25"/>
      <c r="N32" s="25"/>
      <c r="O32" s="25"/>
      <c r="P32" s="25"/>
      <c r="Q32" s="25"/>
    </row>
    <row r="33" spans="1:17" outlineLevel="4" x14ac:dyDescent="0.3">
      <c r="A33" s="174" t="s">
        <v>82</v>
      </c>
      <c r="B33" s="175">
        <v>0</v>
      </c>
      <c r="C33" s="175">
        <v>1.1826506051800001</v>
      </c>
      <c r="D33" s="175">
        <v>4.1147456020000001E-2</v>
      </c>
      <c r="E33" s="175">
        <v>0</v>
      </c>
      <c r="F33" s="175">
        <v>0</v>
      </c>
      <c r="G33" s="175">
        <v>0</v>
      </c>
      <c r="H33" s="25"/>
      <c r="I33" s="25"/>
      <c r="J33" s="25"/>
      <c r="K33" s="25"/>
      <c r="L33" s="25"/>
      <c r="M33" s="25"/>
      <c r="N33" s="25"/>
      <c r="O33" s="25"/>
      <c r="P33" s="25"/>
      <c r="Q33" s="25"/>
    </row>
    <row r="34" spans="1:17" outlineLevel="4" x14ac:dyDescent="0.3">
      <c r="A34" s="174" t="s">
        <v>83</v>
      </c>
      <c r="B34" s="175">
        <v>3.3713226771100002</v>
      </c>
      <c r="C34" s="175">
        <v>2.1574173242899999</v>
      </c>
      <c r="D34" s="175">
        <v>3.3531759060400002</v>
      </c>
      <c r="E34" s="175">
        <v>1.1345416286000001</v>
      </c>
      <c r="F34" s="175">
        <v>3.3204868307900002</v>
      </c>
      <c r="G34" s="175">
        <v>6.7689049215299999</v>
      </c>
      <c r="H34" s="25"/>
      <c r="I34" s="25"/>
      <c r="J34" s="25"/>
      <c r="K34" s="25"/>
      <c r="L34" s="25"/>
      <c r="M34" s="25"/>
      <c r="N34" s="25"/>
      <c r="O34" s="25"/>
      <c r="P34" s="25"/>
      <c r="Q34" s="25"/>
    </row>
    <row r="35" spans="1:17" outlineLevel="4" x14ac:dyDescent="0.3">
      <c r="A35" s="174" t="s">
        <v>84</v>
      </c>
      <c r="B35" s="175">
        <v>0.51075102803000005</v>
      </c>
      <c r="C35" s="175">
        <v>0.42786638891000001</v>
      </c>
      <c r="D35" s="175">
        <v>0.44349520863000003</v>
      </c>
      <c r="E35" s="175">
        <v>7.0305603988399996</v>
      </c>
      <c r="F35" s="175">
        <v>6.7688653429299999</v>
      </c>
      <c r="G35" s="175">
        <v>6.1156961631</v>
      </c>
      <c r="H35" s="25"/>
      <c r="I35" s="25"/>
      <c r="J35" s="25"/>
      <c r="K35" s="25"/>
      <c r="L35" s="25"/>
      <c r="M35" s="25"/>
      <c r="N35" s="25"/>
      <c r="O35" s="25"/>
      <c r="P35" s="25"/>
      <c r="Q35" s="25"/>
    </row>
    <row r="36" spans="1:17" outlineLevel="4" x14ac:dyDescent="0.3">
      <c r="A36" s="174" t="s">
        <v>85</v>
      </c>
      <c r="B36" s="175">
        <v>0.29679729124999998</v>
      </c>
      <c r="C36" s="175">
        <v>0.66909282536000003</v>
      </c>
      <c r="D36" s="175">
        <v>1.54523967858</v>
      </c>
      <c r="E36" s="175">
        <v>1.3651590982999999</v>
      </c>
      <c r="F36" s="175">
        <v>0.59342221659000005</v>
      </c>
      <c r="G36" s="175">
        <v>0.38516142152999999</v>
      </c>
      <c r="H36" s="25"/>
      <c r="I36" s="25"/>
      <c r="J36" s="25"/>
      <c r="K36" s="25"/>
      <c r="L36" s="25"/>
      <c r="M36" s="25"/>
      <c r="N36" s="25"/>
      <c r="O36" s="25"/>
      <c r="P36" s="25"/>
      <c r="Q36" s="25"/>
    </row>
    <row r="37" spans="1:17" outlineLevel="4" x14ac:dyDescent="0.3">
      <c r="A37" s="174" t="s">
        <v>86</v>
      </c>
      <c r="B37" s="175">
        <v>1.9655999696199999</v>
      </c>
      <c r="C37" s="175">
        <v>2.0505828906499999</v>
      </c>
      <c r="D37" s="175">
        <v>1.88681203308</v>
      </c>
      <c r="E37" s="175">
        <v>1.8451328735700001</v>
      </c>
      <c r="F37" s="175">
        <v>1.08127016724</v>
      </c>
      <c r="G37" s="175">
        <v>1.09586897881</v>
      </c>
      <c r="H37" s="25"/>
      <c r="I37" s="25"/>
      <c r="J37" s="25"/>
      <c r="K37" s="25"/>
      <c r="L37" s="25"/>
      <c r="M37" s="25"/>
      <c r="N37" s="25"/>
      <c r="O37" s="25"/>
      <c r="P37" s="25"/>
      <c r="Q37" s="25"/>
    </row>
    <row r="38" spans="1:17" outlineLevel="4" x14ac:dyDescent="0.3">
      <c r="A38" s="174" t="s">
        <v>87</v>
      </c>
      <c r="B38" s="175">
        <v>0</v>
      </c>
      <c r="C38" s="175">
        <v>0.39557383659000001</v>
      </c>
      <c r="D38" s="175">
        <v>0.97407988796</v>
      </c>
      <c r="E38" s="175">
        <v>1.28518943552</v>
      </c>
      <c r="F38" s="175">
        <v>0</v>
      </c>
      <c r="G38" s="175">
        <v>0</v>
      </c>
      <c r="H38" s="25"/>
      <c r="I38" s="25"/>
      <c r="J38" s="25"/>
      <c r="K38" s="25"/>
      <c r="L38" s="25"/>
      <c r="M38" s="25"/>
      <c r="N38" s="25"/>
      <c r="O38" s="25"/>
      <c r="P38" s="25"/>
      <c r="Q38" s="25"/>
    </row>
    <row r="39" spans="1:17" outlineLevel="4" x14ac:dyDescent="0.3">
      <c r="A39" s="174" t="s">
        <v>88</v>
      </c>
      <c r="B39" s="175">
        <v>1.6746145857300001</v>
      </c>
      <c r="C39" s="175">
        <v>1.6580396185999999</v>
      </c>
      <c r="D39" s="175">
        <v>1.50597939013</v>
      </c>
      <c r="E39" s="175">
        <v>1.1233792652800001</v>
      </c>
      <c r="F39" s="175">
        <v>1.08156427714</v>
      </c>
      <c r="G39" s="175">
        <v>0.97719753088000005</v>
      </c>
      <c r="H39" s="25"/>
      <c r="I39" s="25"/>
      <c r="J39" s="25"/>
      <c r="K39" s="25"/>
      <c r="L39" s="25"/>
      <c r="M39" s="25"/>
      <c r="N39" s="25"/>
      <c r="O39" s="25"/>
      <c r="P39" s="25"/>
      <c r="Q39" s="25"/>
    </row>
    <row r="40" spans="1:17" outlineLevel="4" x14ac:dyDescent="0.3">
      <c r="A40" s="174" t="s">
        <v>89</v>
      </c>
      <c r="B40" s="175">
        <v>0.99645835970999996</v>
      </c>
      <c r="C40" s="175">
        <v>0.60994022902</v>
      </c>
      <c r="D40" s="175">
        <v>0.87867744205999998</v>
      </c>
      <c r="E40" s="175">
        <v>0.58743542275000005</v>
      </c>
      <c r="F40" s="175">
        <v>0.46815606701000001</v>
      </c>
      <c r="G40" s="175">
        <v>0.42298082732999998</v>
      </c>
      <c r="H40" s="25"/>
      <c r="I40" s="25"/>
      <c r="J40" s="25"/>
      <c r="K40" s="25"/>
      <c r="L40" s="25"/>
      <c r="M40" s="25"/>
      <c r="N40" s="25"/>
      <c r="O40" s="25"/>
      <c r="P40" s="25"/>
      <c r="Q40" s="25"/>
    </row>
    <row r="41" spans="1:17" outlineLevel="4" x14ac:dyDescent="0.3">
      <c r="A41" s="174" t="s">
        <v>90</v>
      </c>
      <c r="B41" s="175">
        <v>0.73882682741000005</v>
      </c>
      <c r="C41" s="175">
        <v>0.61893006440999998</v>
      </c>
      <c r="D41" s="175">
        <v>0.64153793137000004</v>
      </c>
      <c r="E41" s="175">
        <v>0.27345865032</v>
      </c>
      <c r="F41" s="175">
        <v>6.5819958720000002E-2</v>
      </c>
      <c r="G41" s="175">
        <v>5.9468588689999997E-2</v>
      </c>
      <c r="H41" s="25"/>
      <c r="I41" s="25"/>
      <c r="J41" s="25"/>
      <c r="K41" s="25"/>
      <c r="L41" s="25"/>
      <c r="M41" s="25"/>
      <c r="N41" s="25"/>
      <c r="O41" s="25"/>
      <c r="P41" s="25"/>
      <c r="Q41" s="25"/>
    </row>
    <row r="42" spans="1:17" outlineLevel="4" x14ac:dyDescent="0.3">
      <c r="A42" s="174" t="s">
        <v>91</v>
      </c>
      <c r="B42" s="175">
        <v>0</v>
      </c>
      <c r="C42" s="175">
        <v>1.1238485978199999</v>
      </c>
      <c r="D42" s="175">
        <v>0</v>
      </c>
      <c r="E42" s="175">
        <v>0</v>
      </c>
      <c r="F42" s="175">
        <v>1.2012284124199999</v>
      </c>
      <c r="G42" s="175">
        <v>0</v>
      </c>
      <c r="H42" s="25"/>
      <c r="I42" s="25"/>
      <c r="J42" s="25"/>
      <c r="K42" s="25"/>
      <c r="L42" s="25"/>
      <c r="M42" s="25"/>
      <c r="N42" s="25"/>
      <c r="O42" s="25"/>
      <c r="P42" s="25"/>
      <c r="Q42" s="25"/>
    </row>
    <row r="43" spans="1:17" outlineLevel="4" x14ac:dyDescent="0.3">
      <c r="A43" s="174" t="s">
        <v>92</v>
      </c>
      <c r="B43" s="175">
        <v>0.75993616533999997</v>
      </c>
      <c r="C43" s="175">
        <v>0.63661378054999995</v>
      </c>
      <c r="D43" s="175">
        <v>0.65986758656</v>
      </c>
      <c r="E43" s="175">
        <v>0.49222557056999999</v>
      </c>
      <c r="F43" s="175">
        <v>0.34226378534000002</v>
      </c>
      <c r="G43" s="175">
        <v>0.13083089512000001</v>
      </c>
      <c r="H43" s="25"/>
      <c r="I43" s="25"/>
      <c r="J43" s="25"/>
      <c r="K43" s="25"/>
      <c r="L43" s="25"/>
      <c r="M43" s="25"/>
      <c r="N43" s="25"/>
      <c r="O43" s="25"/>
      <c r="P43" s="25"/>
      <c r="Q43" s="25"/>
    </row>
    <row r="44" spans="1:17" outlineLevel="3" x14ac:dyDescent="0.3">
      <c r="A44" s="176" t="s">
        <v>93</v>
      </c>
      <c r="B44" s="175">
        <f t="shared" ref="B44:G44" si="4">SUM(B$45:B$45)</f>
        <v>8.9336422060000004E-2</v>
      </c>
      <c r="C44" s="175">
        <f t="shared" si="4"/>
        <v>7.0161481959999994E-2</v>
      </c>
      <c r="D44" s="175">
        <f t="shared" si="4"/>
        <v>6.7876007769999996E-2</v>
      </c>
      <c r="E44" s="175">
        <f t="shared" si="4"/>
        <v>4.7015275199999998E-2</v>
      </c>
      <c r="F44" s="175">
        <f t="shared" si="4"/>
        <v>4.1783306749999999E-2</v>
      </c>
      <c r="G44" s="175">
        <f t="shared" si="4"/>
        <v>3.4605431809999997E-2</v>
      </c>
      <c r="H44" s="25"/>
      <c r="I44" s="25"/>
      <c r="J44" s="25"/>
      <c r="K44" s="25"/>
      <c r="L44" s="25"/>
      <c r="M44" s="25"/>
      <c r="N44" s="25"/>
      <c r="O44" s="25"/>
      <c r="P44" s="25"/>
      <c r="Q44" s="25"/>
    </row>
    <row r="45" spans="1:17" outlineLevel="4" x14ac:dyDescent="0.3">
      <c r="A45" s="174" t="s">
        <v>94</v>
      </c>
      <c r="B45" s="175">
        <v>8.9336422060000004E-2</v>
      </c>
      <c r="C45" s="175">
        <v>7.0161481959999994E-2</v>
      </c>
      <c r="D45" s="175">
        <v>6.7876007769999996E-2</v>
      </c>
      <c r="E45" s="175">
        <v>4.7015275199999998E-2</v>
      </c>
      <c r="F45" s="175">
        <v>4.1783306749999999E-2</v>
      </c>
      <c r="G45" s="175">
        <v>3.4605431809999997E-2</v>
      </c>
      <c r="H45" s="25"/>
      <c r="I45" s="25"/>
      <c r="J45" s="25"/>
      <c r="K45" s="25"/>
      <c r="L45" s="25"/>
      <c r="M45" s="25"/>
      <c r="N45" s="25"/>
      <c r="O45" s="25"/>
      <c r="P45" s="25"/>
      <c r="Q45" s="25"/>
    </row>
    <row r="46" spans="1:17" ht="14.5" outlineLevel="2" x14ac:dyDescent="0.35">
      <c r="A46" s="185" t="s">
        <v>95</v>
      </c>
      <c r="B46" s="186">
        <f t="shared" ref="B46:G46" si="5">B$47+B$57+B$68+B$70+B$77+B$86+B$88</f>
        <v>39.342487468180003</v>
      </c>
      <c r="C46" s="186">
        <f t="shared" si="5"/>
        <v>44.510678309749999</v>
      </c>
      <c r="D46" s="186">
        <f t="shared" si="5"/>
        <v>47.663009876300002</v>
      </c>
      <c r="E46" s="186">
        <f t="shared" si="5"/>
        <v>63.591260792390003</v>
      </c>
      <c r="F46" s="186">
        <f t="shared" si="5"/>
        <v>94.791091580989999</v>
      </c>
      <c r="G46" s="186">
        <f t="shared" si="5"/>
        <v>114.87644301746001</v>
      </c>
      <c r="H46" s="25"/>
      <c r="I46" s="25"/>
      <c r="J46" s="25"/>
      <c r="K46" s="25"/>
      <c r="L46" s="25"/>
      <c r="M46" s="25"/>
      <c r="N46" s="25"/>
      <c r="O46" s="25"/>
      <c r="P46" s="25"/>
      <c r="Q46" s="25"/>
    </row>
    <row r="47" spans="1:17" outlineLevel="3" x14ac:dyDescent="0.3">
      <c r="A47" s="176" t="s">
        <v>96</v>
      </c>
      <c r="B47" s="175">
        <f t="shared" ref="B47:G47" si="6">SUM(B$48:B$56)</f>
        <v>12.336172758990001</v>
      </c>
      <c r="C47" s="175">
        <f t="shared" si="6"/>
        <v>15.678814377210001</v>
      </c>
      <c r="D47" s="175">
        <f t="shared" si="6"/>
        <v>16.97941619561</v>
      </c>
      <c r="E47" s="175">
        <f t="shared" si="6"/>
        <v>30.087463237860003</v>
      </c>
      <c r="F47" s="175">
        <f t="shared" si="6"/>
        <v>59.305881467679995</v>
      </c>
      <c r="G47" s="175">
        <f t="shared" si="6"/>
        <v>82.827489272820003</v>
      </c>
      <c r="H47" s="25"/>
      <c r="I47" s="25"/>
      <c r="J47" s="25"/>
      <c r="K47" s="25"/>
      <c r="L47" s="25"/>
      <c r="M47" s="25"/>
      <c r="N47" s="25"/>
      <c r="O47" s="25"/>
      <c r="P47" s="25"/>
      <c r="Q47" s="25"/>
    </row>
    <row r="48" spans="1:17" outlineLevel="4" x14ac:dyDescent="0.3">
      <c r="A48" s="174" t="s">
        <v>97</v>
      </c>
      <c r="B48" s="175">
        <v>0</v>
      </c>
      <c r="C48" s="175">
        <v>0</v>
      </c>
      <c r="D48" s="175">
        <v>2.2672023800000001E-3</v>
      </c>
      <c r="E48" s="175">
        <v>2.13029758E-3</v>
      </c>
      <c r="F48" s="175">
        <v>6.6717266900000001E-3</v>
      </c>
      <c r="G48" s="175">
        <v>1.146224364E-2</v>
      </c>
      <c r="H48" s="25"/>
      <c r="I48" s="25"/>
      <c r="J48" s="25"/>
      <c r="K48" s="25"/>
      <c r="L48" s="25"/>
      <c r="M48" s="25"/>
      <c r="N48" s="25"/>
      <c r="O48" s="25"/>
      <c r="P48" s="25"/>
      <c r="Q48" s="25"/>
    </row>
    <row r="49" spans="1:17" outlineLevel="4" x14ac:dyDescent="0.3">
      <c r="A49" s="174" t="s">
        <v>98</v>
      </c>
      <c r="B49" s="175">
        <v>0</v>
      </c>
      <c r="C49" s="175">
        <v>0</v>
      </c>
      <c r="D49" s="175">
        <v>0</v>
      </c>
      <c r="E49" s="175">
        <v>0</v>
      </c>
      <c r="F49" s="175">
        <v>0</v>
      </c>
      <c r="G49" s="175">
        <v>0.12100019522</v>
      </c>
      <c r="H49" s="25"/>
      <c r="I49" s="25"/>
      <c r="J49" s="25"/>
      <c r="K49" s="25"/>
      <c r="L49" s="25"/>
      <c r="M49" s="25"/>
      <c r="N49" s="25"/>
      <c r="O49" s="25"/>
      <c r="P49" s="25"/>
      <c r="Q49" s="25"/>
    </row>
    <row r="50" spans="1:17" outlineLevel="4" x14ac:dyDescent="0.3">
      <c r="A50" s="174" t="s">
        <v>99</v>
      </c>
      <c r="B50" s="175">
        <v>0.50583389293000003</v>
      </c>
      <c r="C50" s="175">
        <v>0.48430295177999999</v>
      </c>
      <c r="D50" s="175">
        <v>0.3863149676</v>
      </c>
      <c r="E50" s="175">
        <v>0.25855498448999997</v>
      </c>
      <c r="F50" s="175">
        <v>0.19374588745999999</v>
      </c>
      <c r="G50" s="175">
        <v>0.10114868791000001</v>
      </c>
      <c r="H50" s="25"/>
      <c r="I50" s="25"/>
      <c r="J50" s="25"/>
      <c r="K50" s="25"/>
      <c r="L50" s="25"/>
      <c r="M50" s="25"/>
      <c r="N50" s="25"/>
      <c r="O50" s="25"/>
      <c r="P50" s="25"/>
      <c r="Q50" s="25"/>
    </row>
    <row r="51" spans="1:17" outlineLevel="4" x14ac:dyDescent="0.3">
      <c r="A51" s="174" t="s">
        <v>100</v>
      </c>
      <c r="B51" s="175">
        <v>0.78487537830999998</v>
      </c>
      <c r="C51" s="175">
        <v>0.95439248045000002</v>
      </c>
      <c r="D51" s="175">
        <v>1.0156447287699999</v>
      </c>
      <c r="E51" s="175">
        <v>2.6833592883700002</v>
      </c>
      <c r="F51" s="175">
        <v>3.0297750091800002</v>
      </c>
      <c r="G51" s="175">
        <v>2.9522925032999998</v>
      </c>
      <c r="H51" s="25"/>
      <c r="I51" s="25"/>
      <c r="J51" s="25"/>
      <c r="K51" s="25"/>
      <c r="L51" s="25"/>
      <c r="M51" s="25"/>
      <c r="N51" s="25"/>
      <c r="O51" s="25"/>
      <c r="P51" s="25"/>
      <c r="Q51" s="25"/>
    </row>
    <row r="52" spans="1:17" outlineLevel="4" x14ac:dyDescent="0.3">
      <c r="A52" s="174" t="s">
        <v>101</v>
      </c>
      <c r="B52" s="175">
        <v>3.6923111347500002</v>
      </c>
      <c r="C52" s="175">
        <v>4.6811582126699998</v>
      </c>
      <c r="D52" s="175">
        <v>4.9991812509700004</v>
      </c>
      <c r="E52" s="175">
        <v>12.366377438580001</v>
      </c>
      <c r="F52" s="175">
        <v>32.90407975798</v>
      </c>
      <c r="G52" s="175">
        <v>44.012826736089998</v>
      </c>
      <c r="H52" s="25"/>
      <c r="I52" s="25"/>
      <c r="J52" s="25"/>
      <c r="K52" s="25"/>
      <c r="L52" s="25"/>
      <c r="M52" s="25"/>
      <c r="N52" s="25"/>
      <c r="O52" s="25"/>
      <c r="P52" s="25"/>
      <c r="Q52" s="25"/>
    </row>
    <row r="53" spans="1:17" outlineLevel="4" x14ac:dyDescent="0.3">
      <c r="A53" s="174" t="s">
        <v>102</v>
      </c>
      <c r="B53" s="175">
        <v>0</v>
      </c>
      <c r="C53" s="175">
        <v>0</v>
      </c>
      <c r="D53" s="175">
        <v>0</v>
      </c>
      <c r="E53" s="175">
        <v>0.57660198080000002</v>
      </c>
      <c r="F53" s="175">
        <v>1.05085771959</v>
      </c>
      <c r="G53" s="175">
        <v>5.7900951672299996</v>
      </c>
      <c r="H53" s="25"/>
      <c r="I53" s="25"/>
      <c r="J53" s="25"/>
      <c r="K53" s="25"/>
      <c r="L53" s="25"/>
      <c r="M53" s="25"/>
      <c r="N53" s="25"/>
      <c r="O53" s="25"/>
      <c r="P53" s="25"/>
      <c r="Q53" s="25"/>
    </row>
    <row r="54" spans="1:17" outlineLevel="4" x14ac:dyDescent="0.3">
      <c r="A54" s="174" t="s">
        <v>103</v>
      </c>
      <c r="B54" s="175">
        <v>4.90298972188</v>
      </c>
      <c r="C54" s="175">
        <v>5.2931177325599998</v>
      </c>
      <c r="D54" s="175">
        <v>6.1552473171899997</v>
      </c>
      <c r="E54" s="175">
        <v>7.72193497584</v>
      </c>
      <c r="F54" s="175">
        <v>12.00422151197</v>
      </c>
      <c r="G54" s="175">
        <v>16.17518239755</v>
      </c>
      <c r="H54" s="25"/>
      <c r="I54" s="25"/>
      <c r="J54" s="25"/>
      <c r="K54" s="25"/>
      <c r="L54" s="25"/>
      <c r="M54" s="25"/>
      <c r="N54" s="25"/>
      <c r="O54" s="25"/>
      <c r="P54" s="25"/>
      <c r="Q54" s="25"/>
    </row>
    <row r="55" spans="1:17" outlineLevel="4" x14ac:dyDescent="0.3">
      <c r="A55" s="174" t="s">
        <v>104</v>
      </c>
      <c r="B55" s="175">
        <v>2.4272968759200002</v>
      </c>
      <c r="C55" s="175">
        <v>4.2288694837199996</v>
      </c>
      <c r="D55" s="175">
        <v>4.3625608583400002</v>
      </c>
      <c r="E55" s="175">
        <v>6.4009203970500002</v>
      </c>
      <c r="F55" s="175">
        <v>10.00235119221</v>
      </c>
      <c r="G55" s="175">
        <v>13.54928616023</v>
      </c>
      <c r="H55" s="25"/>
      <c r="I55" s="25"/>
      <c r="J55" s="25"/>
      <c r="K55" s="25"/>
      <c r="L55" s="25"/>
      <c r="M55" s="25"/>
      <c r="N55" s="25"/>
      <c r="O55" s="25"/>
      <c r="P55" s="25"/>
      <c r="Q55" s="25"/>
    </row>
    <row r="56" spans="1:17" outlineLevel="4" x14ac:dyDescent="0.3">
      <c r="A56" s="174" t="s">
        <v>105</v>
      </c>
      <c r="B56" s="175">
        <v>2.2865755200000001E-2</v>
      </c>
      <c r="C56" s="175">
        <v>3.697351603E-2</v>
      </c>
      <c r="D56" s="175">
        <v>5.8199870360000003E-2</v>
      </c>
      <c r="E56" s="175">
        <v>7.7583875149999995E-2</v>
      </c>
      <c r="F56" s="175">
        <v>0.11417866259999999</v>
      </c>
      <c r="G56" s="175">
        <v>0.11419518165</v>
      </c>
      <c r="H56" s="25"/>
      <c r="I56" s="25"/>
      <c r="J56" s="25"/>
      <c r="K56" s="25"/>
      <c r="L56" s="25"/>
      <c r="M56" s="25"/>
      <c r="N56" s="25"/>
      <c r="O56" s="25"/>
      <c r="P56" s="25"/>
      <c r="Q56" s="25"/>
    </row>
    <row r="57" spans="1:17" outlineLevel="3" x14ac:dyDescent="0.3">
      <c r="A57" s="176" t="s">
        <v>106</v>
      </c>
      <c r="B57" s="175">
        <f t="shared" ref="B57:G57" si="7">SUM(B$58:B$67)</f>
        <v>1.0232472325099999</v>
      </c>
      <c r="C57" s="175">
        <f t="shared" si="7"/>
        <v>0.94665391014</v>
      </c>
      <c r="D57" s="175">
        <f t="shared" si="7"/>
        <v>0.88801693534000004</v>
      </c>
      <c r="E57" s="175">
        <f t="shared" si="7"/>
        <v>4.3891608617899998</v>
      </c>
      <c r="F57" s="175">
        <f t="shared" si="7"/>
        <v>6.3176009658999996</v>
      </c>
      <c r="G57" s="175">
        <f t="shared" si="7"/>
        <v>7.6291777373399992</v>
      </c>
      <c r="H57" s="25"/>
      <c r="I57" s="25"/>
      <c r="J57" s="25"/>
      <c r="K57" s="25"/>
      <c r="L57" s="25"/>
      <c r="M57" s="25"/>
      <c r="N57" s="25"/>
      <c r="O57" s="25"/>
      <c r="P57" s="25"/>
      <c r="Q57" s="25"/>
    </row>
    <row r="58" spans="1:17" outlineLevel="4" x14ac:dyDescent="0.3">
      <c r="A58" s="174" t="s">
        <v>107</v>
      </c>
      <c r="B58" s="175">
        <v>0</v>
      </c>
      <c r="C58" s="175">
        <v>0</v>
      </c>
      <c r="D58" s="175">
        <v>2.0492385960000001E-2</v>
      </c>
      <c r="E58" s="175">
        <v>2.210838918E-2</v>
      </c>
      <c r="F58" s="175">
        <v>2.3454162970000001E-2</v>
      </c>
      <c r="G58" s="175">
        <v>2.3139083970000002E-2</v>
      </c>
      <c r="H58" s="25"/>
      <c r="I58" s="25"/>
      <c r="J58" s="25"/>
      <c r="K58" s="25"/>
      <c r="L58" s="25"/>
      <c r="M58" s="25"/>
      <c r="N58" s="25"/>
      <c r="O58" s="25"/>
      <c r="P58" s="25"/>
      <c r="Q58" s="25"/>
    </row>
    <row r="59" spans="1:17" outlineLevel="4" x14ac:dyDescent="0.3">
      <c r="A59" s="174" t="s">
        <v>108</v>
      </c>
      <c r="B59" s="175">
        <v>0</v>
      </c>
      <c r="C59" s="175">
        <v>0</v>
      </c>
      <c r="D59" s="175">
        <v>0</v>
      </c>
      <c r="E59" s="175">
        <v>0.21302975776999999</v>
      </c>
      <c r="F59" s="175">
        <v>0.22224977884</v>
      </c>
      <c r="G59" s="175">
        <v>0.20898023264000001</v>
      </c>
      <c r="H59" s="25"/>
      <c r="I59" s="25"/>
      <c r="J59" s="25"/>
      <c r="K59" s="25"/>
      <c r="L59" s="25"/>
      <c r="M59" s="25"/>
      <c r="N59" s="25"/>
      <c r="O59" s="25"/>
      <c r="P59" s="25"/>
      <c r="Q59" s="25"/>
    </row>
    <row r="60" spans="1:17" outlineLevel="4" x14ac:dyDescent="0.3">
      <c r="A60" s="174" t="s">
        <v>109</v>
      </c>
      <c r="B60" s="175">
        <v>0.15284089470000001</v>
      </c>
      <c r="C60" s="175">
        <v>0</v>
      </c>
      <c r="D60" s="175">
        <v>0</v>
      </c>
      <c r="E60" s="175">
        <v>1.8276825705999999</v>
      </c>
      <c r="F60" s="175">
        <v>3.6820325010000001</v>
      </c>
      <c r="G60" s="175">
        <v>5.0846934205799998</v>
      </c>
      <c r="H60" s="25"/>
      <c r="I60" s="25"/>
      <c r="J60" s="25"/>
      <c r="K60" s="25"/>
      <c r="L60" s="25"/>
      <c r="M60" s="25"/>
      <c r="N60" s="25"/>
      <c r="O60" s="25"/>
      <c r="P60" s="25"/>
      <c r="Q60" s="25"/>
    </row>
    <row r="61" spans="1:17" outlineLevel="4" x14ac:dyDescent="0.3">
      <c r="A61" s="174" t="s">
        <v>110</v>
      </c>
      <c r="B61" s="175">
        <v>0</v>
      </c>
      <c r="C61" s="175">
        <v>0</v>
      </c>
      <c r="D61" s="175">
        <v>0</v>
      </c>
      <c r="E61" s="175">
        <v>0.21302975776999999</v>
      </c>
      <c r="F61" s="175">
        <v>0.22224977884</v>
      </c>
      <c r="G61" s="175">
        <v>0.20898023264000001</v>
      </c>
      <c r="H61" s="25"/>
      <c r="I61" s="25"/>
      <c r="J61" s="25"/>
      <c r="K61" s="25"/>
      <c r="L61" s="25"/>
      <c r="M61" s="25"/>
      <c r="N61" s="25"/>
      <c r="O61" s="25"/>
      <c r="P61" s="25"/>
      <c r="Q61" s="25"/>
    </row>
    <row r="62" spans="1:17" outlineLevel="4" x14ac:dyDescent="0.3">
      <c r="A62" s="174" t="s">
        <v>111</v>
      </c>
      <c r="B62" s="175">
        <v>0.27155235158000002</v>
      </c>
      <c r="C62" s="175">
        <v>0.31797605808000001</v>
      </c>
      <c r="D62" s="175">
        <v>0.28670076286000001</v>
      </c>
      <c r="E62" s="175">
        <v>0.58684537884999999</v>
      </c>
      <c r="F62" s="175">
        <v>0.62447708832000004</v>
      </c>
      <c r="G62" s="175">
        <v>0.58744407237999996</v>
      </c>
      <c r="H62" s="25"/>
      <c r="I62" s="25"/>
      <c r="J62" s="25"/>
      <c r="K62" s="25"/>
      <c r="L62" s="25"/>
      <c r="M62" s="25"/>
      <c r="N62" s="25"/>
      <c r="O62" s="25"/>
      <c r="P62" s="25"/>
      <c r="Q62" s="25"/>
    </row>
    <row r="63" spans="1:17" outlineLevel="4" x14ac:dyDescent="0.3">
      <c r="A63" s="174" t="s">
        <v>112</v>
      </c>
      <c r="B63" s="175">
        <v>6.4909268300000003E-3</v>
      </c>
      <c r="C63" s="175">
        <v>1.440203588E-2</v>
      </c>
      <c r="D63" s="175">
        <v>4.1845500289999997E-2</v>
      </c>
      <c r="E63" s="175">
        <v>5.3056445690000002E-2</v>
      </c>
      <c r="F63" s="175">
        <v>9.6949115109999998E-2</v>
      </c>
      <c r="G63" s="175">
        <v>0.10378189140999999</v>
      </c>
      <c r="H63" s="25"/>
      <c r="I63" s="25"/>
      <c r="J63" s="25"/>
      <c r="K63" s="25"/>
      <c r="L63" s="25"/>
      <c r="M63" s="25"/>
      <c r="N63" s="25"/>
      <c r="O63" s="25"/>
      <c r="P63" s="25"/>
      <c r="Q63" s="25"/>
    </row>
    <row r="64" spans="1:17" outlineLevel="4" x14ac:dyDescent="0.3">
      <c r="A64" s="174" t="s">
        <v>113</v>
      </c>
      <c r="B64" s="175">
        <v>0</v>
      </c>
      <c r="C64" s="175">
        <v>0</v>
      </c>
      <c r="D64" s="175">
        <v>0</v>
      </c>
      <c r="E64" s="175">
        <v>0</v>
      </c>
      <c r="F64" s="175">
        <v>0</v>
      </c>
      <c r="G64" s="175">
        <v>0.1</v>
      </c>
      <c r="H64" s="25"/>
      <c r="I64" s="25"/>
      <c r="J64" s="25"/>
      <c r="K64" s="25"/>
      <c r="L64" s="25"/>
      <c r="M64" s="25"/>
      <c r="N64" s="25"/>
      <c r="O64" s="25"/>
      <c r="P64" s="25"/>
      <c r="Q64" s="25"/>
    </row>
    <row r="65" spans="1:17" outlineLevel="4" x14ac:dyDescent="0.3">
      <c r="A65" s="174" t="s">
        <v>114</v>
      </c>
      <c r="B65" s="175">
        <v>3.3223687899999999E-3</v>
      </c>
      <c r="C65" s="175">
        <v>1.8974616299999999E-3</v>
      </c>
      <c r="D65" s="175">
        <v>4.7255449999999998E-4</v>
      </c>
      <c r="E65" s="175">
        <v>4.7255449999999998E-4</v>
      </c>
      <c r="F65" s="175">
        <v>4.7255449999999998E-4</v>
      </c>
      <c r="G65" s="175">
        <v>5.1251526E-4</v>
      </c>
      <c r="H65" s="25"/>
      <c r="I65" s="25"/>
      <c r="J65" s="25"/>
      <c r="K65" s="25"/>
      <c r="L65" s="25"/>
      <c r="M65" s="25"/>
      <c r="N65" s="25"/>
      <c r="O65" s="25"/>
      <c r="P65" s="25"/>
      <c r="Q65" s="25"/>
    </row>
    <row r="66" spans="1:17" outlineLevel="4" x14ac:dyDescent="0.3">
      <c r="A66" s="174" t="s">
        <v>115</v>
      </c>
      <c r="B66" s="175">
        <v>2.4816354990000001E-2</v>
      </c>
      <c r="C66" s="175">
        <v>2.7804970700000001E-2</v>
      </c>
      <c r="D66" s="175">
        <v>3.9693692959999999E-2</v>
      </c>
      <c r="E66" s="175">
        <v>0.47501825474999998</v>
      </c>
      <c r="F66" s="175">
        <v>0.4994446609</v>
      </c>
      <c r="G66" s="175">
        <v>0.46506189307000001</v>
      </c>
      <c r="H66" s="25"/>
      <c r="I66" s="25"/>
      <c r="J66" s="25"/>
      <c r="K66" s="25"/>
      <c r="L66" s="25"/>
      <c r="M66" s="25"/>
      <c r="N66" s="25"/>
      <c r="O66" s="25"/>
      <c r="P66" s="25"/>
      <c r="Q66" s="25"/>
    </row>
    <row r="67" spans="1:17" outlineLevel="4" x14ac:dyDescent="0.3">
      <c r="A67" s="174" t="s">
        <v>116</v>
      </c>
      <c r="B67" s="175">
        <v>0.56422433561999996</v>
      </c>
      <c r="C67" s="175">
        <v>0.58457338385000002</v>
      </c>
      <c r="D67" s="175">
        <v>0.49881203877000002</v>
      </c>
      <c r="E67" s="175">
        <v>0.99791775268000005</v>
      </c>
      <c r="F67" s="175">
        <v>0.94627132542000003</v>
      </c>
      <c r="G67" s="175">
        <v>0.84658439538999997</v>
      </c>
      <c r="H67" s="25"/>
      <c r="I67" s="25"/>
      <c r="J67" s="25"/>
      <c r="K67" s="25"/>
      <c r="L67" s="25"/>
      <c r="M67" s="25"/>
      <c r="N67" s="25"/>
      <c r="O67" s="25"/>
      <c r="P67" s="25"/>
      <c r="Q67" s="25"/>
    </row>
    <row r="68" spans="1:17" outlineLevel="3" x14ac:dyDescent="0.3">
      <c r="A68" s="176" t="s">
        <v>117</v>
      </c>
      <c r="B68" s="175">
        <f t="shared" ref="B68:G68" si="8">SUM(B$69:B$69)</f>
        <v>0.60585586000000002</v>
      </c>
      <c r="C68" s="175">
        <f t="shared" si="8"/>
        <v>0.60585586000000002</v>
      </c>
      <c r="D68" s="175">
        <f t="shared" si="8"/>
        <v>0.60585586000000002</v>
      </c>
      <c r="E68" s="175">
        <f t="shared" si="8"/>
        <v>0.60585586000000002</v>
      </c>
      <c r="F68" s="175">
        <f t="shared" si="8"/>
        <v>0.60585586000000002</v>
      </c>
      <c r="G68" s="175">
        <f t="shared" si="8"/>
        <v>0.60585586000000002</v>
      </c>
      <c r="H68" s="25"/>
      <c r="I68" s="25"/>
      <c r="J68" s="25"/>
      <c r="K68" s="25"/>
      <c r="L68" s="25"/>
      <c r="M68" s="25"/>
      <c r="N68" s="25"/>
      <c r="O68" s="25"/>
      <c r="P68" s="25"/>
      <c r="Q68" s="25"/>
    </row>
    <row r="69" spans="1:17" outlineLevel="4" x14ac:dyDescent="0.3">
      <c r="A69" s="174" t="s">
        <v>118</v>
      </c>
      <c r="B69" s="175">
        <v>0.60585586000000002</v>
      </c>
      <c r="C69" s="175">
        <v>0.60585586000000002</v>
      </c>
      <c r="D69" s="175">
        <v>0.60585586000000002</v>
      </c>
      <c r="E69" s="175">
        <v>0.60585586000000002</v>
      </c>
      <c r="F69" s="175">
        <v>0.60585586000000002</v>
      </c>
      <c r="G69" s="175">
        <v>0.60585586000000002</v>
      </c>
      <c r="H69" s="25"/>
      <c r="I69" s="25"/>
      <c r="J69" s="25"/>
      <c r="K69" s="25"/>
      <c r="L69" s="25"/>
      <c r="M69" s="25"/>
      <c r="N69" s="25"/>
      <c r="O69" s="25"/>
      <c r="P69" s="25"/>
      <c r="Q69" s="25"/>
    </row>
    <row r="70" spans="1:17" outlineLevel="3" x14ac:dyDescent="0.3">
      <c r="A70" s="176" t="s">
        <v>119</v>
      </c>
      <c r="B70" s="175">
        <f t="shared" ref="B70:G70" si="9">SUM(B$71:B$76)</f>
        <v>1.4076640828</v>
      </c>
      <c r="C70" s="175">
        <f t="shared" si="9"/>
        <v>2.16046496469</v>
      </c>
      <c r="D70" s="175">
        <f t="shared" si="9"/>
        <v>1.8600623522399999</v>
      </c>
      <c r="E70" s="175">
        <f t="shared" si="9"/>
        <v>1.6511306157100001</v>
      </c>
      <c r="F70" s="175">
        <f t="shared" si="9"/>
        <v>1.56620920958</v>
      </c>
      <c r="G70" s="175">
        <f t="shared" si="9"/>
        <v>1.4786194744199999</v>
      </c>
      <c r="H70" s="25"/>
      <c r="I70" s="25"/>
      <c r="J70" s="25"/>
      <c r="K70" s="25"/>
      <c r="L70" s="25"/>
      <c r="M70" s="25"/>
      <c r="N70" s="25"/>
      <c r="O70" s="25"/>
      <c r="P70" s="25"/>
      <c r="Q70" s="25"/>
    </row>
    <row r="71" spans="1:17" outlineLevel="4" x14ac:dyDescent="0.3">
      <c r="A71" s="174" t="s">
        <v>120</v>
      </c>
      <c r="B71" s="175">
        <v>0.27887546335000002</v>
      </c>
      <c r="C71" s="175">
        <v>0.61432522476999996</v>
      </c>
      <c r="D71" s="175">
        <v>0.73684077395000003</v>
      </c>
      <c r="E71" s="175">
        <v>0.69234671275000004</v>
      </c>
      <c r="F71" s="175">
        <v>0.72231178122999995</v>
      </c>
      <c r="G71" s="175">
        <v>0.67918575608999998</v>
      </c>
      <c r="H71" s="25"/>
      <c r="I71" s="25"/>
      <c r="J71" s="25"/>
      <c r="K71" s="25"/>
      <c r="L71" s="25"/>
      <c r="M71" s="25"/>
      <c r="N71" s="25"/>
      <c r="O71" s="25"/>
      <c r="P71" s="25"/>
      <c r="Q71" s="25"/>
    </row>
    <row r="72" spans="1:17" outlineLevel="4" x14ac:dyDescent="0.3">
      <c r="A72" s="174" t="s">
        <v>121</v>
      </c>
      <c r="B72" s="175">
        <v>5.7034719999999999E-5</v>
      </c>
      <c r="C72" s="175">
        <v>6.2819910000000005E-5</v>
      </c>
      <c r="D72" s="175">
        <v>5.7960120000000002E-5</v>
      </c>
      <c r="E72" s="175">
        <v>5.4460209999999998E-5</v>
      </c>
      <c r="F72" s="175">
        <v>5.681727E-5</v>
      </c>
      <c r="G72" s="175">
        <v>5.3424960000000002E-5</v>
      </c>
      <c r="H72" s="25"/>
      <c r="I72" s="25"/>
      <c r="J72" s="25"/>
      <c r="K72" s="25"/>
      <c r="L72" s="25"/>
      <c r="M72" s="25"/>
      <c r="N72" s="25"/>
      <c r="O72" s="25"/>
      <c r="P72" s="25"/>
      <c r="Q72" s="25"/>
    </row>
    <row r="73" spans="1:17" outlineLevel="4" x14ac:dyDescent="0.3">
      <c r="A73" s="174" t="s">
        <v>122</v>
      </c>
      <c r="B73" s="175">
        <v>0</v>
      </c>
      <c r="C73" s="175">
        <v>0</v>
      </c>
      <c r="D73" s="175">
        <v>0</v>
      </c>
      <c r="E73" s="175">
        <v>0</v>
      </c>
      <c r="F73" s="175">
        <v>4.3185847999999997E-3</v>
      </c>
      <c r="G73" s="175">
        <v>6.7086455600000004E-3</v>
      </c>
      <c r="H73" s="25"/>
      <c r="I73" s="25"/>
      <c r="J73" s="25"/>
      <c r="K73" s="25"/>
      <c r="L73" s="25"/>
      <c r="M73" s="25"/>
      <c r="N73" s="25"/>
      <c r="O73" s="25"/>
      <c r="P73" s="25"/>
      <c r="Q73" s="25"/>
    </row>
    <row r="74" spans="1:17" outlineLevel="4" x14ac:dyDescent="0.3">
      <c r="A74" s="174" t="s">
        <v>123</v>
      </c>
      <c r="B74" s="175">
        <v>0.18226253311000001</v>
      </c>
      <c r="C74" s="175">
        <v>0.23292541166</v>
      </c>
      <c r="D74" s="175">
        <v>0.29744124965000002</v>
      </c>
      <c r="E74" s="175">
        <v>0.30348476916</v>
      </c>
      <c r="F74" s="175">
        <v>0.2708811217</v>
      </c>
      <c r="G74" s="175">
        <v>0.19288559186000001</v>
      </c>
      <c r="H74" s="25"/>
      <c r="I74" s="25"/>
      <c r="J74" s="25"/>
      <c r="K74" s="25"/>
      <c r="L74" s="25"/>
      <c r="M74" s="25"/>
      <c r="N74" s="25"/>
      <c r="O74" s="25"/>
      <c r="P74" s="25"/>
      <c r="Q74" s="25"/>
    </row>
    <row r="75" spans="1:17" outlineLevel="4" x14ac:dyDescent="0.3">
      <c r="A75" s="174" t="s">
        <v>124</v>
      </c>
      <c r="B75" s="175">
        <v>0.94646905161999995</v>
      </c>
      <c r="C75" s="175">
        <v>1.3131515083500001</v>
      </c>
      <c r="D75" s="175">
        <v>0.82572236852000003</v>
      </c>
      <c r="E75" s="175">
        <v>0.65524467359000005</v>
      </c>
      <c r="F75" s="175">
        <v>0.56864090458000005</v>
      </c>
      <c r="G75" s="175">
        <v>0.43278562789000002</v>
      </c>
      <c r="H75" s="25"/>
      <c r="I75" s="25"/>
      <c r="J75" s="25"/>
      <c r="K75" s="25"/>
      <c r="L75" s="25"/>
      <c r="M75" s="25"/>
      <c r="N75" s="25"/>
      <c r="O75" s="25"/>
      <c r="P75" s="25"/>
      <c r="Q75" s="25"/>
    </row>
    <row r="76" spans="1:17" outlineLevel="4" x14ac:dyDescent="0.3">
      <c r="A76" s="174" t="s">
        <v>125</v>
      </c>
      <c r="B76" s="175">
        <v>0</v>
      </c>
      <c r="C76" s="175">
        <v>0</v>
      </c>
      <c r="D76" s="175">
        <v>0</v>
      </c>
      <c r="E76" s="175">
        <v>0</v>
      </c>
      <c r="F76" s="175">
        <v>0</v>
      </c>
      <c r="G76" s="175">
        <v>0.16700042806000001</v>
      </c>
      <c r="H76" s="25"/>
      <c r="I76" s="25"/>
      <c r="J76" s="25"/>
      <c r="K76" s="25"/>
      <c r="L76" s="25"/>
      <c r="M76" s="25"/>
      <c r="N76" s="25"/>
      <c r="O76" s="25"/>
      <c r="P76" s="25"/>
      <c r="Q76" s="25"/>
    </row>
    <row r="77" spans="1:17" outlineLevel="3" x14ac:dyDescent="0.3">
      <c r="A77" s="176" t="s">
        <v>126</v>
      </c>
      <c r="B77" s="175">
        <f t="shared" ref="B77:G77" si="10">SUM(B$78:B$85)</f>
        <v>19.271436853400001</v>
      </c>
      <c r="C77" s="175">
        <f t="shared" si="10"/>
        <v>20.35023951142</v>
      </c>
      <c r="D77" s="175">
        <f t="shared" si="10"/>
        <v>19.912232679059997</v>
      </c>
      <c r="E77" s="175">
        <f t="shared" si="10"/>
        <v>19.657214774909999</v>
      </c>
      <c r="F77" s="175">
        <f t="shared" si="10"/>
        <v>19.760940011999999</v>
      </c>
      <c r="G77" s="175">
        <f t="shared" si="10"/>
        <v>15.219165084</v>
      </c>
      <c r="H77" s="25"/>
      <c r="I77" s="25"/>
      <c r="J77" s="25"/>
      <c r="K77" s="25"/>
      <c r="L77" s="25"/>
      <c r="M77" s="25"/>
      <c r="N77" s="25"/>
      <c r="O77" s="25"/>
      <c r="P77" s="25"/>
      <c r="Q77" s="25"/>
    </row>
    <row r="78" spans="1:17" outlineLevel="4" x14ac:dyDescent="0.3">
      <c r="A78" s="174" t="s">
        <v>127</v>
      </c>
      <c r="B78" s="175">
        <v>11.805935</v>
      </c>
      <c r="C78" s="175">
        <v>8.6357759999999999</v>
      </c>
      <c r="D78" s="175">
        <v>7.6616299999999997</v>
      </c>
      <c r="E78" s="175">
        <v>7.5606299999999997</v>
      </c>
      <c r="F78" s="175">
        <v>7.5606299999999997</v>
      </c>
      <c r="G78" s="175">
        <v>0</v>
      </c>
      <c r="H78" s="25"/>
      <c r="I78" s="25"/>
      <c r="J78" s="25"/>
      <c r="K78" s="25"/>
      <c r="L78" s="25"/>
      <c r="M78" s="25"/>
      <c r="N78" s="25"/>
      <c r="O78" s="25"/>
      <c r="P78" s="25"/>
      <c r="Q78" s="25"/>
    </row>
    <row r="79" spans="1:17" outlineLevel="4" x14ac:dyDescent="0.3">
      <c r="A79" s="174" t="s">
        <v>128</v>
      </c>
      <c r="B79" s="175">
        <v>1</v>
      </c>
      <c r="C79" s="175">
        <v>1</v>
      </c>
      <c r="D79" s="175">
        <v>0</v>
      </c>
      <c r="E79" s="175">
        <v>0</v>
      </c>
      <c r="F79" s="175">
        <v>0</v>
      </c>
      <c r="G79" s="175">
        <v>0</v>
      </c>
      <c r="H79" s="25"/>
      <c r="I79" s="25"/>
      <c r="J79" s="25"/>
      <c r="K79" s="25"/>
      <c r="L79" s="25"/>
      <c r="M79" s="25"/>
      <c r="N79" s="25"/>
      <c r="O79" s="25"/>
      <c r="P79" s="25"/>
      <c r="Q79" s="25"/>
    </row>
    <row r="80" spans="1:17" outlineLevel="4" x14ac:dyDescent="0.3">
      <c r="A80" s="174" t="s">
        <v>129</v>
      </c>
      <c r="B80" s="175">
        <v>3</v>
      </c>
      <c r="C80" s="175">
        <v>3</v>
      </c>
      <c r="D80" s="175">
        <v>3</v>
      </c>
      <c r="E80" s="175">
        <v>3</v>
      </c>
      <c r="F80" s="175">
        <v>3</v>
      </c>
      <c r="G80" s="175">
        <v>0</v>
      </c>
      <c r="H80" s="25"/>
      <c r="I80" s="25"/>
      <c r="J80" s="25"/>
      <c r="K80" s="25"/>
      <c r="L80" s="25"/>
      <c r="M80" s="25"/>
      <c r="N80" s="25"/>
      <c r="O80" s="25"/>
      <c r="P80" s="25"/>
      <c r="Q80" s="25"/>
    </row>
    <row r="81" spans="1:17" outlineLevel="4" x14ac:dyDescent="0.3">
      <c r="A81" s="174" t="s">
        <v>130</v>
      </c>
      <c r="B81" s="175">
        <v>2.35</v>
      </c>
      <c r="C81" s="175">
        <v>2.35</v>
      </c>
      <c r="D81" s="175">
        <v>2.35</v>
      </c>
      <c r="E81" s="175">
        <v>2.35</v>
      </c>
      <c r="F81" s="175">
        <v>2.35</v>
      </c>
      <c r="G81" s="175">
        <v>0</v>
      </c>
      <c r="H81" s="25"/>
      <c r="I81" s="25"/>
      <c r="J81" s="25"/>
      <c r="K81" s="25"/>
      <c r="L81" s="25"/>
      <c r="M81" s="25"/>
      <c r="N81" s="25"/>
      <c r="O81" s="25"/>
      <c r="P81" s="25"/>
      <c r="Q81" s="25"/>
    </row>
    <row r="82" spans="1:17" outlineLevel="4" x14ac:dyDescent="0.3">
      <c r="A82" s="174" t="s">
        <v>131</v>
      </c>
      <c r="B82" s="175">
        <v>1.1155018534000001</v>
      </c>
      <c r="C82" s="175">
        <v>1.2286504495199999</v>
      </c>
      <c r="D82" s="175">
        <v>1.1336011906900001</v>
      </c>
      <c r="E82" s="175">
        <v>1.06514878885</v>
      </c>
      <c r="F82" s="175">
        <v>1.1112488942200001</v>
      </c>
      <c r="G82" s="175">
        <v>0</v>
      </c>
      <c r="H82" s="25"/>
      <c r="I82" s="25"/>
      <c r="J82" s="25"/>
      <c r="K82" s="25"/>
      <c r="L82" s="25"/>
      <c r="M82" s="25"/>
      <c r="N82" s="25"/>
      <c r="O82" s="25"/>
      <c r="P82" s="25"/>
      <c r="Q82" s="25"/>
    </row>
    <row r="83" spans="1:17" outlineLevel="4" x14ac:dyDescent="0.3">
      <c r="A83" s="174" t="s">
        <v>132</v>
      </c>
      <c r="B83" s="175">
        <v>0</v>
      </c>
      <c r="C83" s="175">
        <v>4.1358130619000004</v>
      </c>
      <c r="D83" s="175">
        <v>4.01700148837</v>
      </c>
      <c r="E83" s="175">
        <v>3.9314359860599999</v>
      </c>
      <c r="F83" s="175">
        <v>3.9890611177799999</v>
      </c>
      <c r="G83" s="175">
        <v>0</v>
      </c>
      <c r="H83" s="25"/>
      <c r="I83" s="25"/>
      <c r="J83" s="25"/>
      <c r="K83" s="25"/>
      <c r="L83" s="25"/>
      <c r="M83" s="25"/>
      <c r="N83" s="25"/>
      <c r="O83" s="25"/>
      <c r="P83" s="25"/>
      <c r="Q83" s="25"/>
    </row>
    <row r="84" spans="1:17" outlineLevel="4" x14ac:dyDescent="0.3">
      <c r="A84" s="174" t="s">
        <v>133</v>
      </c>
      <c r="B84" s="175">
        <v>0</v>
      </c>
      <c r="C84" s="175">
        <v>0</v>
      </c>
      <c r="D84" s="175">
        <v>1.75</v>
      </c>
      <c r="E84" s="175">
        <v>1.75</v>
      </c>
      <c r="F84" s="175">
        <v>1.75</v>
      </c>
      <c r="G84" s="175">
        <v>0</v>
      </c>
      <c r="H84" s="25"/>
      <c r="I84" s="25"/>
      <c r="J84" s="25"/>
      <c r="K84" s="25"/>
      <c r="L84" s="25"/>
      <c r="M84" s="25"/>
      <c r="N84" s="25"/>
      <c r="O84" s="25"/>
      <c r="P84" s="25"/>
      <c r="Q84" s="25"/>
    </row>
    <row r="85" spans="1:17" outlineLevel="4" x14ac:dyDescent="0.3">
      <c r="A85" s="174" t="s">
        <v>134</v>
      </c>
      <c r="B85" s="175">
        <v>0</v>
      </c>
      <c r="C85" s="175">
        <v>0</v>
      </c>
      <c r="D85" s="175">
        <v>0</v>
      </c>
      <c r="E85" s="175">
        <v>0</v>
      </c>
      <c r="F85" s="175">
        <v>0</v>
      </c>
      <c r="G85" s="175">
        <v>15.219165084</v>
      </c>
      <c r="H85" s="25"/>
      <c r="I85" s="25"/>
      <c r="J85" s="25"/>
      <c r="K85" s="25"/>
      <c r="L85" s="25"/>
      <c r="M85" s="25"/>
      <c r="N85" s="25"/>
      <c r="O85" s="25"/>
      <c r="P85" s="25"/>
      <c r="Q85" s="25"/>
    </row>
    <row r="86" spans="1:17" outlineLevel="3" x14ac:dyDescent="0.3">
      <c r="A86" s="176" t="s">
        <v>135</v>
      </c>
      <c r="B86" s="175">
        <f t="shared" ref="B86:G86" si="11">SUM(B$87:B$87)</f>
        <v>3</v>
      </c>
      <c r="C86" s="175">
        <f t="shared" si="11"/>
        <v>3</v>
      </c>
      <c r="D86" s="175">
        <f t="shared" si="11"/>
        <v>3</v>
      </c>
      <c r="E86" s="175">
        <f t="shared" si="11"/>
        <v>3</v>
      </c>
      <c r="F86" s="175">
        <f t="shared" si="11"/>
        <v>3</v>
      </c>
      <c r="G86" s="175">
        <f t="shared" si="11"/>
        <v>3</v>
      </c>
      <c r="H86" s="25"/>
      <c r="I86" s="25"/>
      <c r="J86" s="25"/>
      <c r="K86" s="25"/>
      <c r="L86" s="25"/>
      <c r="M86" s="25"/>
      <c r="N86" s="25"/>
      <c r="O86" s="25"/>
      <c r="P86" s="25"/>
      <c r="Q86" s="25"/>
    </row>
    <row r="87" spans="1:17" outlineLevel="4" x14ac:dyDescent="0.3">
      <c r="A87" s="174" t="s">
        <v>136</v>
      </c>
      <c r="B87" s="175">
        <v>3</v>
      </c>
      <c r="C87" s="175">
        <v>3</v>
      </c>
      <c r="D87" s="175">
        <v>3</v>
      </c>
      <c r="E87" s="175">
        <v>3</v>
      </c>
      <c r="F87" s="175">
        <v>3</v>
      </c>
      <c r="G87" s="175">
        <v>3</v>
      </c>
      <c r="H87" s="25"/>
      <c r="I87" s="25"/>
      <c r="J87" s="25"/>
      <c r="K87" s="25"/>
      <c r="L87" s="25"/>
      <c r="M87" s="25"/>
      <c r="N87" s="25"/>
      <c r="O87" s="25"/>
      <c r="P87" s="25"/>
      <c r="Q87" s="25"/>
    </row>
    <row r="88" spans="1:17" outlineLevel="3" x14ac:dyDescent="0.3">
      <c r="A88" s="176" t="s">
        <v>137</v>
      </c>
      <c r="B88" s="175">
        <f t="shared" ref="B88:G88" si="12">SUM(B$89:B$89)</f>
        <v>1.6981106804799999</v>
      </c>
      <c r="C88" s="175">
        <f t="shared" si="12"/>
        <v>1.7686496862900001</v>
      </c>
      <c r="D88" s="175">
        <f t="shared" si="12"/>
        <v>4.4174258540500002</v>
      </c>
      <c r="E88" s="175">
        <f t="shared" si="12"/>
        <v>4.2004354421199999</v>
      </c>
      <c r="F88" s="175">
        <f t="shared" si="12"/>
        <v>4.2346040658300002</v>
      </c>
      <c r="G88" s="175">
        <f t="shared" si="12"/>
        <v>4.1161355888799998</v>
      </c>
      <c r="H88" s="25"/>
      <c r="I88" s="25"/>
      <c r="J88" s="25"/>
      <c r="K88" s="25"/>
      <c r="L88" s="25"/>
      <c r="M88" s="25"/>
      <c r="N88" s="25"/>
      <c r="O88" s="25"/>
      <c r="P88" s="25"/>
      <c r="Q88" s="25"/>
    </row>
    <row r="89" spans="1:17" outlineLevel="4" x14ac:dyDescent="0.3">
      <c r="A89" s="174" t="s">
        <v>104</v>
      </c>
      <c r="B89" s="175">
        <v>1.6981106804799999</v>
      </c>
      <c r="C89" s="175">
        <v>1.7686496862900001</v>
      </c>
      <c r="D89" s="175">
        <v>4.4174258540500002</v>
      </c>
      <c r="E89" s="175">
        <v>4.2004354421199999</v>
      </c>
      <c r="F89" s="175">
        <v>4.2346040658300002</v>
      </c>
      <c r="G89" s="175">
        <v>4.1161355888799998</v>
      </c>
      <c r="H89" s="25"/>
      <c r="I89" s="25"/>
      <c r="J89" s="25"/>
      <c r="K89" s="25"/>
      <c r="L89" s="25"/>
      <c r="M89" s="25"/>
      <c r="N89" s="25"/>
      <c r="O89" s="25"/>
      <c r="P89" s="25"/>
      <c r="Q89" s="25"/>
    </row>
    <row r="90" spans="1:17" ht="14.5" outlineLevel="1" x14ac:dyDescent="0.35">
      <c r="A90" s="187" t="s">
        <v>2</v>
      </c>
      <c r="B90" s="188">
        <f t="shared" ref="B90:G90" si="13">B$91+B$112</f>
        <v>10.002734439620001</v>
      </c>
      <c r="C90" s="188">
        <f t="shared" si="13"/>
        <v>10.350286957600002</v>
      </c>
      <c r="D90" s="188">
        <f t="shared" si="13"/>
        <v>11.340186286440002</v>
      </c>
      <c r="E90" s="188">
        <f t="shared" si="13"/>
        <v>9.8563851605699995</v>
      </c>
      <c r="F90" s="188">
        <f t="shared" si="13"/>
        <v>8.7289038365499998</v>
      </c>
      <c r="G90" s="188">
        <f t="shared" si="13"/>
        <v>6.8629393971300008</v>
      </c>
      <c r="H90" s="25"/>
      <c r="I90" s="25"/>
      <c r="J90" s="25"/>
      <c r="K90" s="25"/>
      <c r="L90" s="25"/>
      <c r="M90" s="25"/>
      <c r="N90" s="25"/>
      <c r="O90" s="25"/>
      <c r="P90" s="25"/>
      <c r="Q90" s="25"/>
    </row>
    <row r="91" spans="1:17" ht="14.5" outlineLevel="2" x14ac:dyDescent="0.35">
      <c r="A91" s="185" t="s">
        <v>57</v>
      </c>
      <c r="B91" s="186">
        <f t="shared" ref="B91:G91" si="14">B$92+B$100+B$110</f>
        <v>0.39486344825999997</v>
      </c>
      <c r="C91" s="186">
        <f t="shared" si="14"/>
        <v>1.14015267014</v>
      </c>
      <c r="D91" s="186">
        <f t="shared" si="14"/>
        <v>1.7977295609400001</v>
      </c>
      <c r="E91" s="186">
        <f t="shared" si="14"/>
        <v>1.9743148852600001</v>
      </c>
      <c r="F91" s="186">
        <f t="shared" si="14"/>
        <v>1.8113315413799997</v>
      </c>
      <c r="G91" s="186">
        <f t="shared" si="14"/>
        <v>1.6498361975499998</v>
      </c>
      <c r="H91" s="25"/>
      <c r="I91" s="25"/>
      <c r="J91" s="25"/>
      <c r="K91" s="25"/>
      <c r="L91" s="25"/>
      <c r="M91" s="25"/>
      <c r="N91" s="25"/>
      <c r="O91" s="25"/>
      <c r="P91" s="25"/>
      <c r="Q91" s="25"/>
    </row>
    <row r="92" spans="1:17" outlineLevel="3" x14ac:dyDescent="0.3">
      <c r="A92" s="176" t="s">
        <v>58</v>
      </c>
      <c r="B92" s="175">
        <f t="shared" ref="B92:G92" si="15">SUM(B$93:B$99)</f>
        <v>0.17681230419999999</v>
      </c>
      <c r="C92" s="175">
        <f t="shared" si="15"/>
        <v>0.86249908397999997</v>
      </c>
      <c r="D92" s="175">
        <f t="shared" si="15"/>
        <v>0.62058407813000005</v>
      </c>
      <c r="E92" s="175">
        <f t="shared" si="15"/>
        <v>0.32397785532000001</v>
      </c>
      <c r="F92" s="175">
        <f t="shared" si="15"/>
        <v>0.2099659737</v>
      </c>
      <c r="G92" s="175">
        <f t="shared" si="15"/>
        <v>0.10644904969000001</v>
      </c>
      <c r="H92" s="25"/>
      <c r="I92" s="25"/>
      <c r="J92" s="25"/>
      <c r="K92" s="25"/>
      <c r="L92" s="25"/>
      <c r="M92" s="25"/>
      <c r="N92" s="25"/>
      <c r="O92" s="25"/>
      <c r="P92" s="25"/>
      <c r="Q92" s="25"/>
    </row>
    <row r="93" spans="1:17" outlineLevel="4" x14ac:dyDescent="0.3">
      <c r="A93" s="174" t="s">
        <v>138</v>
      </c>
      <c r="B93" s="175">
        <v>4.8973999999999999E-7</v>
      </c>
      <c r="C93" s="175">
        <v>4.1026000000000002E-7</v>
      </c>
      <c r="D93" s="175">
        <v>4.2525000000000003E-7</v>
      </c>
      <c r="E93" s="175">
        <v>3.1721000000000002E-7</v>
      </c>
      <c r="F93" s="175">
        <v>3.0540000000000002E-7</v>
      </c>
      <c r="G93" s="175">
        <v>2.7593000000000001E-7</v>
      </c>
      <c r="H93" s="25"/>
      <c r="I93" s="25"/>
      <c r="J93" s="25"/>
      <c r="K93" s="25"/>
      <c r="L93" s="25"/>
      <c r="M93" s="25"/>
      <c r="N93" s="25"/>
      <c r="O93" s="25"/>
      <c r="P93" s="25"/>
      <c r="Q93" s="25"/>
    </row>
    <row r="94" spans="1:17" outlineLevel="4" x14ac:dyDescent="0.3">
      <c r="A94" s="174" t="s">
        <v>139</v>
      </c>
      <c r="B94" s="175">
        <v>9.2374462759999998E-2</v>
      </c>
      <c r="C94" s="175">
        <v>0.12290182708</v>
      </c>
      <c r="D94" s="175">
        <v>0.12739110351999999</v>
      </c>
      <c r="E94" s="175">
        <v>9.5026880990000007E-2</v>
      </c>
      <c r="F94" s="175">
        <v>6.5161759129999997E-2</v>
      </c>
      <c r="G94" s="175">
        <v>5.8873902810000003E-2</v>
      </c>
      <c r="H94" s="25"/>
      <c r="I94" s="25"/>
      <c r="J94" s="25"/>
      <c r="K94" s="25"/>
      <c r="L94" s="25"/>
      <c r="M94" s="25"/>
      <c r="N94" s="25"/>
      <c r="O94" s="25"/>
      <c r="P94" s="25"/>
      <c r="Q94" s="25"/>
    </row>
    <row r="95" spans="1:17" outlineLevel="4" x14ac:dyDescent="0.3">
      <c r="A95" s="174" t="s">
        <v>140</v>
      </c>
      <c r="B95" s="175">
        <v>8.4437351699999996E-2</v>
      </c>
      <c r="C95" s="175">
        <v>5.9289963430000002E-2</v>
      </c>
      <c r="D95" s="175">
        <v>0</v>
      </c>
      <c r="E95" s="175">
        <v>0</v>
      </c>
      <c r="F95" s="175">
        <v>0</v>
      </c>
      <c r="G95" s="175">
        <v>0</v>
      </c>
      <c r="H95" s="25"/>
      <c r="I95" s="25"/>
      <c r="J95" s="25"/>
      <c r="K95" s="25"/>
      <c r="L95" s="25"/>
      <c r="M95" s="25"/>
      <c r="N95" s="25"/>
      <c r="O95" s="25"/>
      <c r="P95" s="25"/>
      <c r="Q95" s="25"/>
    </row>
    <row r="96" spans="1:17" outlineLevel="4" x14ac:dyDescent="0.3">
      <c r="A96" s="174" t="s">
        <v>141</v>
      </c>
      <c r="B96" s="175">
        <v>0</v>
      </c>
      <c r="C96" s="175">
        <v>0.38419641656999998</v>
      </c>
      <c r="D96" s="175">
        <v>0.18626595596000001</v>
      </c>
      <c r="E96" s="175">
        <v>0</v>
      </c>
      <c r="F96" s="175">
        <v>0</v>
      </c>
      <c r="G96" s="175">
        <v>0</v>
      </c>
      <c r="H96" s="25"/>
      <c r="I96" s="25"/>
      <c r="J96" s="25"/>
      <c r="K96" s="25"/>
      <c r="L96" s="25"/>
      <c r="M96" s="25"/>
      <c r="N96" s="25"/>
      <c r="O96" s="25"/>
      <c r="P96" s="25"/>
      <c r="Q96" s="25"/>
    </row>
    <row r="97" spans="1:17" outlineLevel="4" x14ac:dyDescent="0.3">
      <c r="A97" s="174" t="s">
        <v>142</v>
      </c>
      <c r="B97" s="175">
        <v>0</v>
      </c>
      <c r="C97" s="175">
        <v>0.10158958924</v>
      </c>
      <c r="D97" s="175">
        <v>0.10530038639</v>
      </c>
      <c r="E97" s="175">
        <v>7.854839945E-2</v>
      </c>
      <c r="F97" s="175">
        <v>0</v>
      </c>
      <c r="G97" s="175">
        <v>0</v>
      </c>
      <c r="H97" s="25"/>
      <c r="I97" s="25"/>
      <c r="J97" s="25"/>
      <c r="K97" s="25"/>
      <c r="L97" s="25"/>
      <c r="M97" s="25"/>
      <c r="N97" s="25"/>
      <c r="O97" s="25"/>
      <c r="P97" s="25"/>
      <c r="Q97" s="25"/>
    </row>
    <row r="98" spans="1:17" outlineLevel="4" x14ac:dyDescent="0.3">
      <c r="A98" s="174" t="s">
        <v>143</v>
      </c>
      <c r="B98" s="175">
        <v>0</v>
      </c>
      <c r="C98" s="175">
        <v>0.12378601289000001</v>
      </c>
      <c r="D98" s="175">
        <v>0.12830758628</v>
      </c>
      <c r="E98" s="175">
        <v>9.5710527609999999E-2</v>
      </c>
      <c r="F98" s="175">
        <v>9.2147942199999999E-2</v>
      </c>
      <c r="G98" s="175">
        <v>0</v>
      </c>
      <c r="H98" s="25"/>
      <c r="I98" s="25"/>
      <c r="J98" s="25"/>
      <c r="K98" s="25"/>
      <c r="L98" s="25"/>
      <c r="M98" s="25"/>
      <c r="N98" s="25"/>
      <c r="O98" s="25"/>
      <c r="P98" s="25"/>
      <c r="Q98" s="25"/>
    </row>
    <row r="99" spans="1:17" outlineLevel="4" x14ac:dyDescent="0.3">
      <c r="A99" s="174" t="s">
        <v>144</v>
      </c>
      <c r="B99" s="175">
        <v>0</v>
      </c>
      <c r="C99" s="175">
        <v>7.0734864509999995E-2</v>
      </c>
      <c r="D99" s="175">
        <v>7.3318620730000006E-2</v>
      </c>
      <c r="E99" s="175">
        <v>5.4691730059999999E-2</v>
      </c>
      <c r="F99" s="175">
        <v>5.2655966970000002E-2</v>
      </c>
      <c r="G99" s="175">
        <v>4.7574870950000001E-2</v>
      </c>
      <c r="H99" s="25"/>
      <c r="I99" s="25"/>
      <c r="J99" s="25"/>
      <c r="K99" s="25"/>
      <c r="L99" s="25"/>
      <c r="M99" s="25"/>
      <c r="N99" s="25"/>
      <c r="O99" s="25"/>
      <c r="P99" s="25"/>
      <c r="Q99" s="25"/>
    </row>
    <row r="100" spans="1:17" outlineLevel="3" x14ac:dyDescent="0.3">
      <c r="A100" s="176" t="s">
        <v>93</v>
      </c>
      <c r="B100" s="175">
        <f t="shared" ref="B100:G100" si="16">SUM(B$101:B$109)</f>
        <v>0.21801083999999998</v>
      </c>
      <c r="C100" s="175">
        <f t="shared" si="16"/>
        <v>0.27761982264000001</v>
      </c>
      <c r="D100" s="175">
        <f t="shared" si="16"/>
        <v>1.1771104860000001</v>
      </c>
      <c r="E100" s="175">
        <f t="shared" si="16"/>
        <v>1.65031092421</v>
      </c>
      <c r="F100" s="175">
        <f t="shared" si="16"/>
        <v>1.6013404336699999</v>
      </c>
      <c r="G100" s="175">
        <f t="shared" si="16"/>
        <v>1.5433644391799999</v>
      </c>
      <c r="H100" s="25"/>
      <c r="I100" s="25"/>
      <c r="J100" s="25"/>
      <c r="K100" s="25"/>
      <c r="L100" s="25"/>
      <c r="M100" s="25"/>
      <c r="N100" s="25"/>
      <c r="O100" s="25"/>
      <c r="P100" s="25"/>
      <c r="Q100" s="25"/>
    </row>
    <row r="101" spans="1:17" outlineLevel="4" x14ac:dyDescent="0.3">
      <c r="A101" s="174" t="s">
        <v>145</v>
      </c>
      <c r="B101" s="175">
        <v>2.4814578900000002E-3</v>
      </c>
      <c r="C101" s="175">
        <v>3.690390834E-2</v>
      </c>
      <c r="D101" s="175">
        <v>0.1594837704</v>
      </c>
      <c r="E101" s="175">
        <v>0.11713829667</v>
      </c>
      <c r="F101" s="175">
        <v>9.436784896E-2</v>
      </c>
      <c r="G101" s="175">
        <v>6.2834343449999996E-2</v>
      </c>
      <c r="H101" s="25"/>
      <c r="I101" s="25"/>
      <c r="J101" s="25"/>
      <c r="K101" s="25"/>
      <c r="L101" s="25"/>
      <c r="M101" s="25"/>
      <c r="N101" s="25"/>
      <c r="O101" s="25"/>
      <c r="P101" s="25"/>
      <c r="Q101" s="25"/>
    </row>
    <row r="102" spans="1:17" outlineLevel="4" x14ac:dyDescent="0.3">
      <c r="A102" s="174" t="s">
        <v>146</v>
      </c>
      <c r="B102" s="175">
        <v>0</v>
      </c>
      <c r="C102" s="175">
        <v>0</v>
      </c>
      <c r="D102" s="175">
        <v>1.2999999999999999E-2</v>
      </c>
      <c r="E102" s="175">
        <v>1.2999999999999999E-2</v>
      </c>
      <c r="F102" s="175">
        <v>1.155555556E-2</v>
      </c>
      <c r="G102" s="175">
        <v>7.2222222400000003E-3</v>
      </c>
      <c r="H102" s="25"/>
      <c r="I102" s="25"/>
      <c r="J102" s="25"/>
      <c r="K102" s="25"/>
      <c r="L102" s="25"/>
      <c r="M102" s="25"/>
      <c r="N102" s="25"/>
      <c r="O102" s="25"/>
      <c r="P102" s="25"/>
      <c r="Q102" s="25"/>
    </row>
    <row r="103" spans="1:17" outlineLevel="4" x14ac:dyDescent="0.3">
      <c r="A103" s="174" t="s">
        <v>147</v>
      </c>
      <c r="B103" s="175">
        <v>0</v>
      </c>
      <c r="C103" s="175">
        <v>6.6975004439999999E-2</v>
      </c>
      <c r="D103" s="175">
        <v>0.38894169869</v>
      </c>
      <c r="E103" s="175">
        <v>0.33856009715000002</v>
      </c>
      <c r="F103" s="175">
        <v>0.29996368222999997</v>
      </c>
      <c r="G103" s="175">
        <v>0.35657922199999997</v>
      </c>
      <c r="H103" s="25"/>
      <c r="I103" s="25"/>
      <c r="J103" s="25"/>
      <c r="K103" s="25"/>
      <c r="L103" s="25"/>
      <c r="M103" s="25"/>
      <c r="N103" s="25"/>
      <c r="O103" s="25"/>
      <c r="P103" s="25"/>
      <c r="Q103" s="25"/>
    </row>
    <row r="104" spans="1:17" outlineLevel="4" x14ac:dyDescent="0.3">
      <c r="A104" s="174" t="s">
        <v>148</v>
      </c>
      <c r="B104" s="175">
        <v>8.3244949799999995E-2</v>
      </c>
      <c r="C104" s="175">
        <v>0.14931268807</v>
      </c>
      <c r="D104" s="175">
        <v>0.44777098092000001</v>
      </c>
      <c r="E104" s="175">
        <v>0.37704441026000002</v>
      </c>
      <c r="F104" s="175">
        <v>0.34677464744999997</v>
      </c>
      <c r="G104" s="175">
        <v>0.31541573540000001</v>
      </c>
      <c r="H104" s="25"/>
      <c r="I104" s="25"/>
      <c r="J104" s="25"/>
      <c r="K104" s="25"/>
      <c r="L104" s="25"/>
      <c r="M104" s="25"/>
      <c r="N104" s="25"/>
      <c r="O104" s="25"/>
      <c r="P104" s="25"/>
      <c r="Q104" s="25"/>
    </row>
    <row r="105" spans="1:17" outlineLevel="4" x14ac:dyDescent="0.3">
      <c r="A105" s="174" t="s">
        <v>149</v>
      </c>
      <c r="B105" s="175">
        <v>0</v>
      </c>
      <c r="C105" s="175">
        <v>0</v>
      </c>
      <c r="D105" s="175">
        <v>0.01</v>
      </c>
      <c r="E105" s="175">
        <v>0.01</v>
      </c>
      <c r="F105" s="175">
        <v>8.8888888799999993E-3</v>
      </c>
      <c r="G105" s="175">
        <v>5.5555555199999999E-3</v>
      </c>
      <c r="H105" s="25"/>
      <c r="I105" s="25"/>
      <c r="J105" s="25"/>
      <c r="K105" s="25"/>
      <c r="L105" s="25"/>
      <c r="M105" s="25"/>
      <c r="N105" s="25"/>
      <c r="O105" s="25"/>
      <c r="P105" s="25"/>
      <c r="Q105" s="25"/>
    </row>
    <row r="106" spans="1:17" outlineLevel="4" x14ac:dyDescent="0.3">
      <c r="A106" s="174" t="s">
        <v>150</v>
      </c>
      <c r="B106" s="175">
        <v>0</v>
      </c>
      <c r="C106" s="175">
        <v>0</v>
      </c>
      <c r="D106" s="175">
        <v>1.4E-2</v>
      </c>
      <c r="E106" s="175">
        <v>1.4E-2</v>
      </c>
      <c r="F106" s="175">
        <v>1.2444444440000001E-2</v>
      </c>
      <c r="G106" s="175">
        <v>7.77777776E-3</v>
      </c>
      <c r="H106" s="25"/>
      <c r="I106" s="25"/>
      <c r="J106" s="25"/>
      <c r="K106" s="25"/>
      <c r="L106" s="25"/>
      <c r="M106" s="25"/>
      <c r="N106" s="25"/>
      <c r="O106" s="25"/>
      <c r="P106" s="25"/>
      <c r="Q106" s="25"/>
    </row>
    <row r="107" spans="1:17" outlineLevel="4" x14ac:dyDescent="0.3">
      <c r="A107" s="174" t="s">
        <v>151</v>
      </c>
      <c r="B107" s="175">
        <v>7.3951316520000004E-2</v>
      </c>
      <c r="C107" s="175">
        <v>3.0417893000000001E-3</v>
      </c>
      <c r="D107" s="175">
        <v>0</v>
      </c>
      <c r="E107" s="175">
        <v>0</v>
      </c>
      <c r="F107" s="175">
        <v>0</v>
      </c>
      <c r="G107" s="175">
        <v>0</v>
      </c>
      <c r="H107" s="25"/>
      <c r="I107" s="25"/>
      <c r="J107" s="25"/>
      <c r="K107" s="25"/>
      <c r="L107" s="25"/>
      <c r="M107" s="25"/>
      <c r="N107" s="25"/>
      <c r="O107" s="25"/>
      <c r="P107" s="25"/>
      <c r="Q107" s="25"/>
    </row>
    <row r="108" spans="1:17" outlineLevel="4" x14ac:dyDescent="0.3">
      <c r="A108" s="174" t="s">
        <v>152</v>
      </c>
      <c r="B108" s="175">
        <v>5.8333115790000001E-2</v>
      </c>
      <c r="C108" s="175">
        <v>2.1386432489999999E-2</v>
      </c>
      <c r="D108" s="175">
        <v>1.099617233E-2</v>
      </c>
      <c r="E108" s="175">
        <v>4.1006707400000003E-3</v>
      </c>
      <c r="F108" s="175">
        <v>0</v>
      </c>
      <c r="G108" s="175">
        <v>0</v>
      </c>
      <c r="H108" s="25"/>
      <c r="I108" s="25"/>
      <c r="J108" s="25"/>
      <c r="K108" s="25"/>
      <c r="L108" s="25"/>
      <c r="M108" s="25"/>
      <c r="N108" s="25"/>
      <c r="O108" s="25"/>
      <c r="P108" s="25"/>
      <c r="Q108" s="25"/>
    </row>
    <row r="109" spans="1:17" outlineLevel="4" x14ac:dyDescent="0.3">
      <c r="A109" s="174" t="s">
        <v>153</v>
      </c>
      <c r="B109" s="175">
        <v>0</v>
      </c>
      <c r="C109" s="175">
        <v>0</v>
      </c>
      <c r="D109" s="175">
        <v>0.13291786366</v>
      </c>
      <c r="E109" s="175">
        <v>0.77646744939000001</v>
      </c>
      <c r="F109" s="175">
        <v>0.82734536614999998</v>
      </c>
      <c r="G109" s="175">
        <v>0.78797958281000002</v>
      </c>
      <c r="H109" s="25"/>
      <c r="I109" s="25"/>
      <c r="J109" s="25"/>
      <c r="K109" s="25"/>
      <c r="L109" s="25"/>
      <c r="M109" s="25"/>
      <c r="N109" s="25"/>
      <c r="O109" s="25"/>
      <c r="P109" s="25"/>
      <c r="Q109" s="25"/>
    </row>
    <row r="110" spans="1:17" outlineLevel="3" x14ac:dyDescent="0.3">
      <c r="A110" s="176" t="s">
        <v>154</v>
      </c>
      <c r="B110" s="175">
        <f t="shared" ref="B110:G110" si="17">SUM(B$111:B$111)</f>
        <v>4.0304060000000003E-5</v>
      </c>
      <c r="C110" s="175">
        <f t="shared" si="17"/>
        <v>3.3763519999999998E-5</v>
      </c>
      <c r="D110" s="175">
        <f t="shared" si="17"/>
        <v>3.4996809999999997E-5</v>
      </c>
      <c r="E110" s="175">
        <f t="shared" si="17"/>
        <v>2.6105729999999998E-5</v>
      </c>
      <c r="F110" s="175">
        <f t="shared" si="17"/>
        <v>2.5134010000000001E-5</v>
      </c>
      <c r="G110" s="175">
        <f t="shared" si="17"/>
        <v>2.270868E-5</v>
      </c>
      <c r="H110" s="25"/>
      <c r="I110" s="25"/>
      <c r="J110" s="25"/>
      <c r="K110" s="25"/>
      <c r="L110" s="25"/>
      <c r="M110" s="25"/>
      <c r="N110" s="25"/>
      <c r="O110" s="25"/>
      <c r="P110" s="25"/>
      <c r="Q110" s="25"/>
    </row>
    <row r="111" spans="1:17" outlineLevel="4" x14ac:dyDescent="0.3">
      <c r="A111" s="174" t="s">
        <v>155</v>
      </c>
      <c r="B111" s="175">
        <v>4.0304060000000003E-5</v>
      </c>
      <c r="C111" s="175">
        <v>3.3763519999999998E-5</v>
      </c>
      <c r="D111" s="175">
        <v>3.4996809999999997E-5</v>
      </c>
      <c r="E111" s="175">
        <v>2.6105729999999998E-5</v>
      </c>
      <c r="F111" s="175">
        <v>2.5134010000000001E-5</v>
      </c>
      <c r="G111" s="175">
        <v>2.270868E-5</v>
      </c>
      <c r="H111" s="25"/>
      <c r="I111" s="25"/>
      <c r="J111" s="25"/>
      <c r="K111" s="25"/>
      <c r="L111" s="25"/>
      <c r="M111" s="25"/>
      <c r="N111" s="25"/>
      <c r="O111" s="25"/>
      <c r="P111" s="25"/>
      <c r="Q111" s="25"/>
    </row>
    <row r="112" spans="1:17" ht="14.5" outlineLevel="2" x14ac:dyDescent="0.35">
      <c r="A112" s="185" t="s">
        <v>95</v>
      </c>
      <c r="B112" s="186">
        <f t="shared" ref="B112:G112" si="18">B$113+B$120+B$123+B$129+B$132</f>
        <v>9.6078709913600004</v>
      </c>
      <c r="C112" s="186">
        <f t="shared" si="18"/>
        <v>9.2101342874600007</v>
      </c>
      <c r="D112" s="186">
        <f t="shared" si="18"/>
        <v>9.542456725500001</v>
      </c>
      <c r="E112" s="186">
        <f t="shared" si="18"/>
        <v>7.8820702753100003</v>
      </c>
      <c r="F112" s="186">
        <f t="shared" si="18"/>
        <v>6.9175722951700003</v>
      </c>
      <c r="G112" s="186">
        <f t="shared" si="18"/>
        <v>5.2131031995800008</v>
      </c>
      <c r="H112" s="25"/>
      <c r="I112" s="25"/>
      <c r="J112" s="25"/>
      <c r="K112" s="25"/>
      <c r="L112" s="25"/>
      <c r="M112" s="25"/>
      <c r="N112" s="25"/>
      <c r="O112" s="25"/>
      <c r="P112" s="25"/>
      <c r="Q112" s="25"/>
    </row>
    <row r="113" spans="1:17" outlineLevel="3" x14ac:dyDescent="0.3">
      <c r="A113" s="176" t="s">
        <v>96</v>
      </c>
      <c r="B113" s="175">
        <f t="shared" ref="B113:G113" si="19">SUM(B$114:B$119)</f>
        <v>8.0575646315700009</v>
      </c>
      <c r="C113" s="175">
        <f t="shared" si="19"/>
        <v>7.8396779266699994</v>
      </c>
      <c r="D113" s="175">
        <f t="shared" si="19"/>
        <v>6.8215236588600003</v>
      </c>
      <c r="E113" s="175">
        <f t="shared" si="19"/>
        <v>5.22954123319</v>
      </c>
      <c r="F113" s="175">
        <f t="shared" si="19"/>
        <v>4.23165891857</v>
      </c>
      <c r="G113" s="175">
        <f t="shared" si="19"/>
        <v>3.2418873771000003</v>
      </c>
      <c r="H113" s="25"/>
      <c r="I113" s="25"/>
      <c r="J113" s="25"/>
      <c r="K113" s="25"/>
      <c r="L113" s="25"/>
      <c r="M113" s="25"/>
      <c r="N113" s="25"/>
      <c r="O113" s="25"/>
      <c r="P113" s="25"/>
      <c r="Q113" s="25"/>
    </row>
    <row r="114" spans="1:17" outlineLevel="4" x14ac:dyDescent="0.3">
      <c r="A114" s="174" t="s">
        <v>156</v>
      </c>
      <c r="B114" s="175">
        <v>0.11155018534</v>
      </c>
      <c r="C114" s="175">
        <v>0.2457300899</v>
      </c>
      <c r="D114" s="175">
        <v>0.34008035721000002</v>
      </c>
      <c r="E114" s="175">
        <v>0.31954463665999999</v>
      </c>
      <c r="F114" s="175">
        <v>0.33337466827000001</v>
      </c>
      <c r="G114" s="175">
        <v>0.31347034895999998</v>
      </c>
      <c r="H114" s="25"/>
      <c r="I114" s="25"/>
      <c r="J114" s="25"/>
      <c r="K114" s="25"/>
      <c r="L114" s="25"/>
      <c r="M114" s="25"/>
      <c r="N114" s="25"/>
      <c r="O114" s="25"/>
      <c r="P114" s="25"/>
      <c r="Q114" s="25"/>
    </row>
    <row r="115" spans="1:17" outlineLevel="4" x14ac:dyDescent="0.3">
      <c r="A115" s="174" t="s">
        <v>99</v>
      </c>
      <c r="B115" s="175">
        <v>0.33752435519000001</v>
      </c>
      <c r="C115" s="175">
        <v>0.36897050998000003</v>
      </c>
      <c r="D115" s="175">
        <v>0.34018379404999999</v>
      </c>
      <c r="E115" s="175">
        <v>0.60634335549999996</v>
      </c>
      <c r="F115" s="175">
        <v>1.11848112001</v>
      </c>
      <c r="G115" s="175">
        <v>1.0781519687600001</v>
      </c>
      <c r="H115" s="25"/>
      <c r="I115" s="25"/>
      <c r="J115" s="25"/>
      <c r="K115" s="25"/>
      <c r="L115" s="25"/>
      <c r="M115" s="25"/>
      <c r="N115" s="25"/>
      <c r="O115" s="25"/>
      <c r="P115" s="25"/>
      <c r="Q115" s="25"/>
    </row>
    <row r="116" spans="1:17" outlineLevel="4" x14ac:dyDescent="0.3">
      <c r="A116" s="174" t="s">
        <v>100</v>
      </c>
      <c r="B116" s="175">
        <v>6.1090459E-2</v>
      </c>
      <c r="C116" s="175">
        <v>6.7287041869999994E-2</v>
      </c>
      <c r="D116" s="175">
        <v>6.1798268910000002E-2</v>
      </c>
      <c r="E116" s="175">
        <v>0.10946001528</v>
      </c>
      <c r="F116" s="175">
        <v>0.11186386994</v>
      </c>
      <c r="G116" s="175">
        <v>0.19232794526999999</v>
      </c>
      <c r="H116" s="25"/>
      <c r="I116" s="25"/>
      <c r="J116" s="25"/>
      <c r="K116" s="25"/>
      <c r="L116" s="25"/>
      <c r="M116" s="25"/>
      <c r="N116" s="25"/>
      <c r="O116" s="25"/>
      <c r="P116" s="25"/>
      <c r="Q116" s="25"/>
    </row>
    <row r="117" spans="1:17" outlineLevel="4" x14ac:dyDescent="0.3">
      <c r="A117" s="174" t="s">
        <v>103</v>
      </c>
      <c r="B117" s="175">
        <v>0.45703505259999999</v>
      </c>
      <c r="C117" s="175">
        <v>0.4480903752</v>
      </c>
      <c r="D117" s="175">
        <v>0.46823055755999998</v>
      </c>
      <c r="E117" s="175">
        <v>0.46950737846000001</v>
      </c>
      <c r="F117" s="175">
        <v>0.53712731924000001</v>
      </c>
      <c r="G117" s="175">
        <v>0.51326692550999997</v>
      </c>
      <c r="H117" s="25"/>
      <c r="I117" s="25"/>
      <c r="J117" s="25"/>
      <c r="K117" s="25"/>
      <c r="L117" s="25"/>
      <c r="M117" s="25"/>
      <c r="N117" s="25"/>
      <c r="O117" s="25"/>
      <c r="P117" s="25"/>
      <c r="Q117" s="25"/>
    </row>
    <row r="118" spans="1:17" outlineLevel="4" x14ac:dyDescent="0.3">
      <c r="A118" s="174" t="s">
        <v>104</v>
      </c>
      <c r="B118" s="175">
        <v>7.0903645794400001</v>
      </c>
      <c r="C118" s="175">
        <v>6.7095999097199996</v>
      </c>
      <c r="D118" s="175">
        <v>5.6112306811300003</v>
      </c>
      <c r="E118" s="175">
        <v>3.7245303992899998</v>
      </c>
      <c r="F118" s="175">
        <v>2.13065401311</v>
      </c>
      <c r="G118" s="175">
        <v>1.1443781555999999</v>
      </c>
      <c r="H118" s="25"/>
      <c r="I118" s="25"/>
      <c r="J118" s="25"/>
      <c r="K118" s="25"/>
      <c r="L118" s="25"/>
      <c r="M118" s="25"/>
      <c r="N118" s="25"/>
      <c r="O118" s="25"/>
      <c r="P118" s="25"/>
      <c r="Q118" s="25"/>
    </row>
    <row r="119" spans="1:17" outlineLevel="4" x14ac:dyDescent="0.3">
      <c r="A119" s="174" t="s">
        <v>105</v>
      </c>
      <c r="B119" s="175">
        <v>0</v>
      </c>
      <c r="C119" s="175">
        <v>0</v>
      </c>
      <c r="D119" s="175">
        <v>0</v>
      </c>
      <c r="E119" s="175">
        <v>1.5544800000000001E-4</v>
      </c>
      <c r="F119" s="175">
        <v>1.57928E-4</v>
      </c>
      <c r="G119" s="175">
        <v>2.9203299999999997E-4</v>
      </c>
      <c r="H119" s="25"/>
      <c r="I119" s="25"/>
      <c r="J119" s="25"/>
      <c r="K119" s="25"/>
      <c r="L119" s="25"/>
      <c r="M119" s="25"/>
      <c r="N119" s="25"/>
      <c r="O119" s="25"/>
      <c r="P119" s="25"/>
      <c r="Q119" s="25"/>
    </row>
    <row r="120" spans="1:17" outlineLevel="3" x14ac:dyDescent="0.3">
      <c r="A120" s="176" t="s">
        <v>157</v>
      </c>
      <c r="B120" s="175">
        <f t="shared" ref="B120:G120" si="20">SUM(B$121:B$122)</f>
        <v>1.2</v>
      </c>
      <c r="C120" s="175">
        <f t="shared" si="20"/>
        <v>1.05</v>
      </c>
      <c r="D120" s="175">
        <f t="shared" si="20"/>
        <v>0.9</v>
      </c>
      <c r="E120" s="175">
        <f t="shared" si="20"/>
        <v>0.82499999999999996</v>
      </c>
      <c r="F120" s="175">
        <f t="shared" si="20"/>
        <v>0.85471092828999995</v>
      </c>
      <c r="G120" s="175">
        <f t="shared" si="20"/>
        <v>0.85779034641999996</v>
      </c>
      <c r="H120" s="25"/>
      <c r="I120" s="25"/>
      <c r="J120" s="25"/>
      <c r="K120" s="25"/>
      <c r="L120" s="25"/>
      <c r="M120" s="25"/>
      <c r="N120" s="25"/>
      <c r="O120" s="25"/>
      <c r="P120" s="25"/>
      <c r="Q120" s="25"/>
    </row>
    <row r="121" spans="1:17" outlineLevel="4" x14ac:dyDescent="0.3">
      <c r="A121" s="174" t="s">
        <v>158</v>
      </c>
      <c r="B121" s="175">
        <v>1.2</v>
      </c>
      <c r="C121" s="175">
        <v>1.05</v>
      </c>
      <c r="D121" s="175">
        <v>0.9</v>
      </c>
      <c r="E121" s="175">
        <v>0.82499999999999996</v>
      </c>
      <c r="F121" s="175">
        <v>0.82499999999999996</v>
      </c>
      <c r="G121" s="175">
        <v>0.82499999999999996</v>
      </c>
      <c r="H121" s="25"/>
      <c r="I121" s="25"/>
      <c r="J121" s="25"/>
      <c r="K121" s="25"/>
      <c r="L121" s="25"/>
      <c r="M121" s="25"/>
      <c r="N121" s="25"/>
      <c r="O121" s="25"/>
      <c r="P121" s="25"/>
      <c r="Q121" s="25"/>
    </row>
    <row r="122" spans="1:17" outlineLevel="4" x14ac:dyDescent="0.3">
      <c r="A122" s="174" t="s">
        <v>111</v>
      </c>
      <c r="B122" s="175">
        <v>0</v>
      </c>
      <c r="C122" s="175">
        <v>0</v>
      </c>
      <c r="D122" s="175">
        <v>0</v>
      </c>
      <c r="E122" s="175">
        <v>0</v>
      </c>
      <c r="F122" s="175">
        <v>2.9710928290000001E-2</v>
      </c>
      <c r="G122" s="175">
        <v>3.2790346419999998E-2</v>
      </c>
      <c r="H122" s="25"/>
      <c r="I122" s="25"/>
      <c r="J122" s="25"/>
      <c r="K122" s="25"/>
      <c r="L122" s="25"/>
      <c r="M122" s="25"/>
      <c r="N122" s="25"/>
      <c r="O122" s="25"/>
      <c r="P122" s="25"/>
      <c r="Q122" s="25"/>
    </row>
    <row r="123" spans="1:17" outlineLevel="3" x14ac:dyDescent="0.3">
      <c r="A123" s="176" t="s">
        <v>119</v>
      </c>
      <c r="B123" s="175">
        <f t="shared" ref="B123:G123" si="21">SUM(B$124:B$128)</f>
        <v>0.23768427568</v>
      </c>
      <c r="C123" s="175">
        <f t="shared" si="21"/>
        <v>0.20315598926</v>
      </c>
      <c r="D123" s="175">
        <f t="shared" si="21"/>
        <v>0.18194537496000002</v>
      </c>
      <c r="E123" s="175">
        <f t="shared" si="21"/>
        <v>0.19414059239000001</v>
      </c>
      <c r="F123" s="175">
        <f t="shared" si="21"/>
        <v>0.19693230805</v>
      </c>
      <c r="G123" s="175">
        <f t="shared" si="21"/>
        <v>0.18221230804999999</v>
      </c>
      <c r="H123" s="25"/>
      <c r="I123" s="25"/>
      <c r="J123" s="25"/>
      <c r="K123" s="25"/>
      <c r="L123" s="25"/>
      <c r="M123" s="25"/>
      <c r="N123" s="25"/>
      <c r="O123" s="25"/>
      <c r="P123" s="25"/>
      <c r="Q123" s="25"/>
    </row>
    <row r="124" spans="1:17" outlineLevel="4" x14ac:dyDescent="0.3">
      <c r="A124" s="174" t="s">
        <v>159</v>
      </c>
      <c r="B124" s="175">
        <v>0.14482956551000001</v>
      </c>
      <c r="C124" s="175">
        <v>0.17459425459</v>
      </c>
      <c r="D124" s="175">
        <v>0.16409411059000001</v>
      </c>
      <c r="E124" s="175">
        <v>0.18854023267</v>
      </c>
      <c r="F124" s="175">
        <v>0.19693230805</v>
      </c>
      <c r="G124" s="175">
        <v>0.18221230804999999</v>
      </c>
      <c r="H124" s="25"/>
      <c r="I124" s="25"/>
      <c r="J124" s="25"/>
      <c r="K124" s="25"/>
      <c r="L124" s="25"/>
      <c r="M124" s="25"/>
      <c r="N124" s="25"/>
      <c r="O124" s="25"/>
      <c r="P124" s="25"/>
      <c r="Q124" s="25"/>
    </row>
    <row r="125" spans="1:17" outlineLevel="4" x14ac:dyDescent="0.3">
      <c r="A125" s="174" t="s">
        <v>124</v>
      </c>
      <c r="B125" s="175">
        <v>3.0354194519999999E-2</v>
      </c>
      <c r="C125" s="175">
        <v>2.8561734669999998E-2</v>
      </c>
      <c r="D125" s="175">
        <v>1.7851264370000001E-2</v>
      </c>
      <c r="E125" s="175">
        <v>5.6003597199999998E-3</v>
      </c>
      <c r="F125" s="175">
        <v>0</v>
      </c>
      <c r="G125" s="175">
        <v>0</v>
      </c>
      <c r="H125" s="25"/>
      <c r="I125" s="25"/>
      <c r="J125" s="25"/>
      <c r="K125" s="25"/>
      <c r="L125" s="25"/>
      <c r="M125" s="25"/>
      <c r="N125" s="25"/>
      <c r="O125" s="25"/>
      <c r="P125" s="25"/>
      <c r="Q125" s="25"/>
    </row>
    <row r="126" spans="1:17" outlineLevel="4" x14ac:dyDescent="0.3">
      <c r="A126" s="174" t="s">
        <v>160</v>
      </c>
      <c r="B126" s="175">
        <v>9.4817656499999996E-3</v>
      </c>
      <c r="C126" s="175">
        <v>0</v>
      </c>
      <c r="D126" s="175">
        <v>0</v>
      </c>
      <c r="E126" s="175">
        <v>0</v>
      </c>
      <c r="F126" s="175">
        <v>0</v>
      </c>
      <c r="G126" s="175">
        <v>0</v>
      </c>
      <c r="H126" s="25"/>
      <c r="I126" s="25"/>
      <c r="J126" s="25"/>
      <c r="K126" s="25"/>
      <c r="L126" s="25"/>
      <c r="M126" s="25"/>
      <c r="N126" s="25"/>
      <c r="O126" s="25"/>
      <c r="P126" s="25"/>
      <c r="Q126" s="25"/>
    </row>
    <row r="127" spans="1:17" outlineLevel="4" x14ac:dyDescent="0.3">
      <c r="A127" s="174" t="s">
        <v>161</v>
      </c>
      <c r="B127" s="175">
        <v>2.0400000000000001E-2</v>
      </c>
      <c r="C127" s="175">
        <v>0</v>
      </c>
      <c r="D127" s="175">
        <v>0</v>
      </c>
      <c r="E127" s="175">
        <v>0</v>
      </c>
      <c r="F127" s="175">
        <v>0</v>
      </c>
      <c r="G127" s="175">
        <v>0</v>
      </c>
      <c r="H127" s="25"/>
      <c r="I127" s="25"/>
      <c r="J127" s="25"/>
      <c r="K127" s="25"/>
      <c r="L127" s="25"/>
      <c r="M127" s="25"/>
      <c r="N127" s="25"/>
      <c r="O127" s="25"/>
      <c r="P127" s="25"/>
      <c r="Q127" s="25"/>
    </row>
    <row r="128" spans="1:17" outlineLevel="4" x14ac:dyDescent="0.3">
      <c r="A128" s="174" t="s">
        <v>162</v>
      </c>
      <c r="B128" s="175">
        <v>3.2618750000000002E-2</v>
      </c>
      <c r="C128" s="175">
        <v>0</v>
      </c>
      <c r="D128" s="175">
        <v>0</v>
      </c>
      <c r="E128" s="175">
        <v>0</v>
      </c>
      <c r="F128" s="175">
        <v>0</v>
      </c>
      <c r="G128" s="175">
        <v>0</v>
      </c>
      <c r="H128" s="25"/>
      <c r="I128" s="25"/>
      <c r="J128" s="25"/>
      <c r="K128" s="25"/>
      <c r="L128" s="25"/>
      <c r="M128" s="25"/>
      <c r="N128" s="25"/>
      <c r="O128" s="25"/>
      <c r="P128" s="25"/>
      <c r="Q128" s="25"/>
    </row>
    <row r="129" spans="1:17" outlineLevel="3" x14ac:dyDescent="0.3">
      <c r="A129" s="176" t="s">
        <v>163</v>
      </c>
      <c r="B129" s="175">
        <f t="shared" ref="B129:G129" si="22">SUM(B$130:B$131)</f>
        <v>0</v>
      </c>
      <c r="C129" s="175">
        <f t="shared" si="22"/>
        <v>0</v>
      </c>
      <c r="D129" s="175">
        <f t="shared" si="22"/>
        <v>1.5249999999999999</v>
      </c>
      <c r="E129" s="175">
        <f t="shared" si="22"/>
        <v>1.5249999999999999</v>
      </c>
      <c r="F129" s="175">
        <f t="shared" si="22"/>
        <v>1.5249999999999999</v>
      </c>
      <c r="G129" s="175">
        <f t="shared" si="22"/>
        <v>0.82499999999999996</v>
      </c>
      <c r="H129" s="25"/>
      <c r="I129" s="25"/>
      <c r="J129" s="25"/>
      <c r="K129" s="25"/>
      <c r="L129" s="25"/>
      <c r="M129" s="25"/>
      <c r="N129" s="25"/>
      <c r="O129" s="25"/>
      <c r="P129" s="25"/>
      <c r="Q129" s="25"/>
    </row>
    <row r="130" spans="1:17" outlineLevel="4" x14ac:dyDescent="0.3">
      <c r="A130" s="174" t="s">
        <v>164</v>
      </c>
      <c r="B130" s="175">
        <v>0</v>
      </c>
      <c r="C130" s="175">
        <v>0</v>
      </c>
      <c r="D130" s="175">
        <v>0.7</v>
      </c>
      <c r="E130" s="175">
        <v>0.7</v>
      </c>
      <c r="F130" s="175">
        <v>0.7</v>
      </c>
      <c r="G130" s="175">
        <v>0</v>
      </c>
      <c r="H130" s="25"/>
      <c r="I130" s="25"/>
      <c r="J130" s="25"/>
      <c r="K130" s="25"/>
      <c r="L130" s="25"/>
      <c r="M130" s="25"/>
      <c r="N130" s="25"/>
      <c r="O130" s="25"/>
      <c r="P130" s="25"/>
      <c r="Q130" s="25"/>
    </row>
    <row r="131" spans="1:17" outlineLevel="4" x14ac:dyDescent="0.3">
      <c r="A131" s="174" t="s">
        <v>165</v>
      </c>
      <c r="B131" s="175">
        <v>0</v>
      </c>
      <c r="C131" s="175">
        <v>0</v>
      </c>
      <c r="D131" s="175">
        <v>0.82499999999999996</v>
      </c>
      <c r="E131" s="175">
        <v>0.82499999999999996</v>
      </c>
      <c r="F131" s="175">
        <v>0.82499999999999996</v>
      </c>
      <c r="G131" s="175">
        <v>0.82499999999999996</v>
      </c>
      <c r="H131" s="25"/>
      <c r="I131" s="25"/>
      <c r="J131" s="25"/>
      <c r="K131" s="25"/>
      <c r="L131" s="25"/>
      <c r="M131" s="25"/>
      <c r="N131" s="25"/>
      <c r="O131" s="25"/>
      <c r="P131" s="25"/>
      <c r="Q131" s="25"/>
    </row>
    <row r="132" spans="1:17" outlineLevel="3" x14ac:dyDescent="0.3">
      <c r="A132" s="176" t="s">
        <v>137</v>
      </c>
      <c r="B132" s="175">
        <f t="shared" ref="B132:G132" si="23">SUM(B$133:B$133)</f>
        <v>0.11262208411000001</v>
      </c>
      <c r="C132" s="175">
        <f t="shared" si="23"/>
        <v>0.11730037153</v>
      </c>
      <c r="D132" s="175">
        <f t="shared" si="23"/>
        <v>0.11398769168</v>
      </c>
      <c r="E132" s="175">
        <f t="shared" si="23"/>
        <v>0.10838844973</v>
      </c>
      <c r="F132" s="175">
        <f t="shared" si="23"/>
        <v>0.10927014026</v>
      </c>
      <c r="G132" s="175">
        <f t="shared" si="23"/>
        <v>0.10621316801</v>
      </c>
      <c r="H132" s="25"/>
      <c r="I132" s="25"/>
      <c r="J132" s="25"/>
      <c r="K132" s="25"/>
      <c r="L132" s="25"/>
      <c r="M132" s="25"/>
      <c r="N132" s="25"/>
      <c r="O132" s="25"/>
      <c r="P132" s="25"/>
      <c r="Q132" s="25"/>
    </row>
    <row r="133" spans="1:17" outlineLevel="4" x14ac:dyDescent="0.3">
      <c r="A133" s="174" t="s">
        <v>104</v>
      </c>
      <c r="B133" s="175">
        <v>0.11262208411000001</v>
      </c>
      <c r="C133" s="175">
        <v>0.11730037153</v>
      </c>
      <c r="D133" s="175">
        <v>0.11398769168</v>
      </c>
      <c r="E133" s="175">
        <v>0.10838844973</v>
      </c>
      <c r="F133" s="175">
        <v>0.10927014026</v>
      </c>
      <c r="G133" s="175">
        <v>0.10621316801</v>
      </c>
      <c r="H133" s="25"/>
      <c r="I133" s="25"/>
      <c r="J133" s="25"/>
      <c r="K133" s="25"/>
      <c r="L133" s="25"/>
      <c r="M133" s="25"/>
      <c r="N133" s="25"/>
      <c r="O133" s="25"/>
      <c r="P133" s="25"/>
      <c r="Q133" s="25"/>
    </row>
    <row r="134" spans="1:17" x14ac:dyDescent="0.3">
      <c r="B134" s="24"/>
      <c r="C134" s="24"/>
      <c r="D134" s="24"/>
      <c r="E134" s="24"/>
      <c r="F134" s="24"/>
      <c r="G134" s="24"/>
      <c r="H134" s="25"/>
      <c r="I134" s="25"/>
      <c r="J134" s="25"/>
      <c r="K134" s="25"/>
      <c r="L134" s="25"/>
      <c r="M134" s="25"/>
      <c r="N134" s="25"/>
      <c r="O134" s="25"/>
      <c r="P134" s="25"/>
      <c r="Q134" s="25"/>
    </row>
    <row r="135" spans="1:17" x14ac:dyDescent="0.3">
      <c r="B135" s="24"/>
      <c r="C135" s="24"/>
      <c r="D135" s="24"/>
      <c r="E135" s="24"/>
      <c r="F135" s="24"/>
      <c r="G135" s="24"/>
      <c r="H135" s="25"/>
      <c r="I135" s="25"/>
      <c r="J135" s="25"/>
      <c r="K135" s="25"/>
      <c r="L135" s="25"/>
      <c r="M135" s="25"/>
      <c r="N135" s="25"/>
      <c r="O135" s="25"/>
      <c r="P135" s="25"/>
      <c r="Q135" s="25"/>
    </row>
    <row r="136" spans="1:17" x14ac:dyDescent="0.3">
      <c r="B136" s="24"/>
      <c r="C136" s="24"/>
      <c r="D136" s="24"/>
      <c r="E136" s="24"/>
      <c r="F136" s="24"/>
      <c r="G136" s="24"/>
      <c r="H136" s="25"/>
      <c r="I136" s="25"/>
      <c r="J136" s="25"/>
      <c r="K136" s="25"/>
      <c r="L136" s="25"/>
      <c r="M136" s="25"/>
      <c r="N136" s="25"/>
      <c r="O136" s="25"/>
      <c r="P136" s="25"/>
      <c r="Q136" s="25"/>
    </row>
    <row r="137" spans="1:17" x14ac:dyDescent="0.3">
      <c r="B137" s="24"/>
      <c r="C137" s="24"/>
      <c r="D137" s="24"/>
      <c r="E137" s="24"/>
      <c r="F137" s="24"/>
      <c r="G137" s="24"/>
      <c r="H137" s="25"/>
      <c r="I137" s="25"/>
      <c r="J137" s="25"/>
      <c r="K137" s="25"/>
      <c r="L137" s="25"/>
      <c r="M137" s="25"/>
      <c r="N137" s="25"/>
      <c r="O137" s="25"/>
      <c r="P137" s="25"/>
      <c r="Q137" s="25"/>
    </row>
    <row r="138" spans="1:17" x14ac:dyDescent="0.3">
      <c r="B138" s="24"/>
      <c r="C138" s="24"/>
      <c r="D138" s="24"/>
      <c r="E138" s="24"/>
      <c r="F138" s="24"/>
      <c r="G138" s="24"/>
      <c r="H138" s="25"/>
      <c r="I138" s="25"/>
      <c r="J138" s="25"/>
      <c r="K138" s="25"/>
      <c r="L138" s="25"/>
      <c r="M138" s="25"/>
      <c r="N138" s="25"/>
      <c r="O138" s="25"/>
      <c r="P138" s="25"/>
      <c r="Q138" s="25"/>
    </row>
    <row r="139" spans="1:17" x14ac:dyDescent="0.3">
      <c r="B139" s="24"/>
      <c r="C139" s="24"/>
      <c r="D139" s="24"/>
      <c r="E139" s="24"/>
      <c r="F139" s="24"/>
      <c r="G139" s="24"/>
      <c r="H139" s="25"/>
      <c r="I139" s="25"/>
      <c r="J139" s="25"/>
      <c r="K139" s="25"/>
      <c r="L139" s="25"/>
      <c r="M139" s="25"/>
      <c r="N139" s="25"/>
      <c r="O139" s="25"/>
      <c r="P139" s="25"/>
      <c r="Q139" s="25"/>
    </row>
    <row r="140" spans="1:17" x14ac:dyDescent="0.3">
      <c r="B140" s="24"/>
      <c r="C140" s="24"/>
      <c r="D140" s="24"/>
      <c r="E140" s="24"/>
      <c r="F140" s="24"/>
      <c r="G140" s="24"/>
      <c r="H140" s="25"/>
      <c r="I140" s="25"/>
      <c r="J140" s="25"/>
      <c r="K140" s="25"/>
      <c r="L140" s="25"/>
      <c r="M140" s="25"/>
      <c r="N140" s="25"/>
      <c r="O140" s="25"/>
      <c r="P140" s="25"/>
      <c r="Q140" s="25"/>
    </row>
    <row r="141" spans="1:17" x14ac:dyDescent="0.3">
      <c r="B141" s="24"/>
      <c r="C141" s="24"/>
      <c r="D141" s="24"/>
      <c r="E141" s="24"/>
      <c r="F141" s="24"/>
      <c r="G141" s="24"/>
      <c r="H141" s="25"/>
      <c r="I141" s="25"/>
      <c r="J141" s="25"/>
      <c r="K141" s="25"/>
      <c r="L141" s="25"/>
      <c r="M141" s="25"/>
      <c r="N141" s="25"/>
      <c r="O141" s="25"/>
      <c r="P141" s="25"/>
      <c r="Q141" s="25"/>
    </row>
    <row r="142" spans="1:17" x14ac:dyDescent="0.3">
      <c r="B142" s="24"/>
      <c r="C142" s="24"/>
      <c r="D142" s="24"/>
      <c r="E142" s="24"/>
      <c r="F142" s="24"/>
      <c r="G142" s="24"/>
      <c r="H142" s="25"/>
      <c r="I142" s="25"/>
      <c r="J142" s="25"/>
      <c r="K142" s="25"/>
      <c r="L142" s="25"/>
      <c r="M142" s="25"/>
      <c r="N142" s="25"/>
      <c r="O142" s="25"/>
      <c r="P142" s="25"/>
      <c r="Q142" s="25"/>
    </row>
    <row r="143" spans="1:17" x14ac:dyDescent="0.3">
      <c r="B143" s="24"/>
      <c r="C143" s="24"/>
      <c r="D143" s="24"/>
      <c r="E143" s="24"/>
      <c r="F143" s="24"/>
      <c r="G143" s="24"/>
      <c r="H143" s="25"/>
      <c r="I143" s="25"/>
      <c r="J143" s="25"/>
      <c r="K143" s="25"/>
      <c r="L143" s="25"/>
      <c r="M143" s="25"/>
      <c r="N143" s="25"/>
      <c r="O143" s="25"/>
      <c r="P143" s="25"/>
      <c r="Q143" s="25"/>
    </row>
    <row r="144" spans="1:17" x14ac:dyDescent="0.3">
      <c r="B144" s="24"/>
      <c r="C144" s="24"/>
      <c r="D144" s="24"/>
      <c r="E144" s="24"/>
      <c r="F144" s="24"/>
      <c r="G144" s="24"/>
      <c r="H144" s="25"/>
      <c r="I144" s="25"/>
      <c r="J144" s="25"/>
      <c r="K144" s="25"/>
      <c r="L144" s="25"/>
      <c r="M144" s="25"/>
      <c r="N144" s="25"/>
      <c r="O144" s="25"/>
      <c r="P144" s="25"/>
      <c r="Q144" s="25"/>
    </row>
    <row r="145" spans="2:17" x14ac:dyDescent="0.3">
      <c r="B145" s="24"/>
      <c r="C145" s="24"/>
      <c r="D145" s="24"/>
      <c r="E145" s="24"/>
      <c r="F145" s="24"/>
      <c r="G145" s="24"/>
      <c r="H145" s="25"/>
      <c r="I145" s="25"/>
      <c r="J145" s="25"/>
      <c r="K145" s="25"/>
      <c r="L145" s="25"/>
      <c r="M145" s="25"/>
      <c r="N145" s="25"/>
      <c r="O145" s="25"/>
      <c r="P145" s="25"/>
      <c r="Q145" s="25"/>
    </row>
    <row r="146" spans="2:17" x14ac:dyDescent="0.3">
      <c r="B146" s="24"/>
      <c r="C146" s="24"/>
      <c r="D146" s="24"/>
      <c r="E146" s="24"/>
      <c r="F146" s="24"/>
      <c r="G146" s="24"/>
      <c r="H146" s="25"/>
      <c r="I146" s="25"/>
      <c r="J146" s="25"/>
      <c r="K146" s="25"/>
      <c r="L146" s="25"/>
      <c r="M146" s="25"/>
      <c r="N146" s="25"/>
      <c r="O146" s="25"/>
      <c r="P146" s="25"/>
      <c r="Q146" s="25"/>
    </row>
    <row r="147" spans="2:17" x14ac:dyDescent="0.3">
      <c r="B147" s="24"/>
      <c r="C147" s="24"/>
      <c r="D147" s="24"/>
      <c r="E147" s="24"/>
      <c r="F147" s="24"/>
      <c r="G147" s="24"/>
      <c r="H147" s="25"/>
      <c r="I147" s="25"/>
      <c r="J147" s="25"/>
      <c r="K147" s="25"/>
      <c r="L147" s="25"/>
      <c r="M147" s="25"/>
      <c r="N147" s="25"/>
      <c r="O147" s="25"/>
      <c r="P147" s="25"/>
      <c r="Q147" s="25"/>
    </row>
    <row r="148" spans="2:17" x14ac:dyDescent="0.3">
      <c r="B148" s="24"/>
      <c r="C148" s="24"/>
      <c r="D148" s="24"/>
      <c r="E148" s="24"/>
      <c r="F148" s="24"/>
      <c r="G148" s="24"/>
      <c r="H148" s="25"/>
      <c r="I148" s="25"/>
      <c r="J148" s="25"/>
      <c r="K148" s="25"/>
      <c r="L148" s="25"/>
      <c r="M148" s="25"/>
      <c r="N148" s="25"/>
      <c r="O148" s="25"/>
      <c r="P148" s="25"/>
      <c r="Q148" s="25"/>
    </row>
    <row r="149" spans="2:17" x14ac:dyDescent="0.3">
      <c r="B149" s="24"/>
      <c r="C149" s="24"/>
      <c r="D149" s="24"/>
      <c r="E149" s="24"/>
      <c r="F149" s="24"/>
      <c r="G149" s="24"/>
      <c r="H149" s="25"/>
      <c r="I149" s="25"/>
      <c r="J149" s="25"/>
      <c r="K149" s="25"/>
      <c r="L149" s="25"/>
      <c r="M149" s="25"/>
      <c r="N149" s="25"/>
      <c r="O149" s="25"/>
      <c r="P149" s="25"/>
      <c r="Q149" s="25"/>
    </row>
    <row r="150" spans="2:17" x14ac:dyDescent="0.3">
      <c r="B150" s="24"/>
      <c r="C150" s="24"/>
      <c r="D150" s="24"/>
      <c r="E150" s="24"/>
      <c r="F150" s="24"/>
      <c r="G150" s="24"/>
      <c r="H150" s="25"/>
      <c r="I150" s="25"/>
      <c r="J150" s="25"/>
      <c r="K150" s="25"/>
      <c r="L150" s="25"/>
      <c r="M150" s="25"/>
      <c r="N150" s="25"/>
      <c r="O150" s="25"/>
      <c r="P150" s="25"/>
      <c r="Q150" s="25"/>
    </row>
    <row r="151" spans="2:17" x14ac:dyDescent="0.3">
      <c r="B151" s="24"/>
      <c r="C151" s="24"/>
      <c r="D151" s="24"/>
      <c r="E151" s="24"/>
      <c r="F151" s="24"/>
      <c r="G151" s="24"/>
      <c r="H151" s="25"/>
      <c r="I151" s="25"/>
      <c r="J151" s="25"/>
      <c r="K151" s="25"/>
      <c r="L151" s="25"/>
      <c r="M151" s="25"/>
      <c r="N151" s="25"/>
      <c r="O151" s="25"/>
      <c r="P151" s="25"/>
      <c r="Q151" s="25"/>
    </row>
    <row r="152" spans="2:17" x14ac:dyDescent="0.3">
      <c r="B152" s="24"/>
      <c r="C152" s="24"/>
      <c r="D152" s="24"/>
      <c r="E152" s="24"/>
      <c r="F152" s="24"/>
      <c r="G152" s="24"/>
      <c r="H152" s="25"/>
      <c r="I152" s="25"/>
      <c r="J152" s="25"/>
      <c r="K152" s="25"/>
      <c r="L152" s="25"/>
      <c r="M152" s="25"/>
      <c r="N152" s="25"/>
      <c r="O152" s="25"/>
      <c r="P152" s="25"/>
      <c r="Q152" s="25"/>
    </row>
    <row r="153" spans="2:17" x14ac:dyDescent="0.3">
      <c r="B153" s="24"/>
      <c r="C153" s="24"/>
      <c r="D153" s="24"/>
      <c r="E153" s="24"/>
      <c r="F153" s="24"/>
      <c r="G153" s="24"/>
      <c r="H153" s="25"/>
      <c r="I153" s="25"/>
      <c r="J153" s="25"/>
      <c r="K153" s="25"/>
      <c r="L153" s="25"/>
      <c r="M153" s="25"/>
      <c r="N153" s="25"/>
      <c r="O153" s="25"/>
      <c r="P153" s="25"/>
      <c r="Q153" s="25"/>
    </row>
    <row r="154" spans="2:17" x14ac:dyDescent="0.3">
      <c r="B154" s="24"/>
      <c r="C154" s="24"/>
      <c r="D154" s="24"/>
      <c r="E154" s="24"/>
      <c r="F154" s="24"/>
      <c r="G154" s="24"/>
      <c r="H154" s="25"/>
      <c r="I154" s="25"/>
      <c r="J154" s="25"/>
      <c r="K154" s="25"/>
      <c r="L154" s="25"/>
      <c r="M154" s="25"/>
      <c r="N154" s="25"/>
      <c r="O154" s="25"/>
      <c r="P154" s="25"/>
      <c r="Q154" s="25"/>
    </row>
    <row r="155" spans="2:17" x14ac:dyDescent="0.3">
      <c r="B155" s="24"/>
      <c r="C155" s="24"/>
      <c r="D155" s="24"/>
      <c r="E155" s="24"/>
      <c r="F155" s="24"/>
      <c r="G155" s="24"/>
      <c r="H155" s="25"/>
      <c r="I155" s="25"/>
      <c r="J155" s="25"/>
      <c r="K155" s="25"/>
      <c r="L155" s="25"/>
      <c r="M155" s="25"/>
      <c r="N155" s="25"/>
      <c r="O155" s="25"/>
      <c r="P155" s="25"/>
      <c r="Q155" s="25"/>
    </row>
    <row r="156" spans="2:17" x14ac:dyDescent="0.3">
      <c r="B156" s="24"/>
      <c r="C156" s="24"/>
      <c r="D156" s="24"/>
      <c r="E156" s="24"/>
      <c r="F156" s="24"/>
      <c r="G156" s="24"/>
      <c r="H156" s="25"/>
      <c r="I156" s="25"/>
      <c r="J156" s="25"/>
      <c r="K156" s="25"/>
      <c r="L156" s="25"/>
      <c r="M156" s="25"/>
      <c r="N156" s="25"/>
      <c r="O156" s="25"/>
      <c r="P156" s="25"/>
      <c r="Q156" s="25"/>
    </row>
    <row r="157" spans="2:17" x14ac:dyDescent="0.3">
      <c r="B157" s="24"/>
      <c r="C157" s="24"/>
      <c r="D157" s="24"/>
      <c r="E157" s="24"/>
      <c r="F157" s="24"/>
      <c r="G157" s="24"/>
      <c r="H157" s="25"/>
      <c r="I157" s="25"/>
      <c r="J157" s="25"/>
      <c r="K157" s="25"/>
      <c r="L157" s="25"/>
      <c r="M157" s="25"/>
      <c r="N157" s="25"/>
      <c r="O157" s="25"/>
      <c r="P157" s="25"/>
      <c r="Q157" s="25"/>
    </row>
    <row r="158" spans="2:17" x14ac:dyDescent="0.3">
      <c r="B158" s="24"/>
      <c r="C158" s="24"/>
      <c r="D158" s="24"/>
      <c r="E158" s="24"/>
      <c r="F158" s="24"/>
      <c r="G158" s="24"/>
      <c r="H158" s="25"/>
      <c r="I158" s="25"/>
      <c r="J158" s="25"/>
      <c r="K158" s="25"/>
      <c r="L158" s="25"/>
      <c r="M158" s="25"/>
      <c r="N158" s="25"/>
      <c r="O158" s="25"/>
      <c r="P158" s="25"/>
      <c r="Q158" s="25"/>
    </row>
    <row r="159" spans="2:17" x14ac:dyDescent="0.3">
      <c r="B159" s="24"/>
      <c r="C159" s="24"/>
      <c r="D159" s="24"/>
      <c r="E159" s="24"/>
      <c r="F159" s="24"/>
      <c r="G159" s="24"/>
      <c r="H159" s="25"/>
      <c r="I159" s="25"/>
      <c r="J159" s="25"/>
      <c r="K159" s="25"/>
      <c r="L159" s="25"/>
      <c r="M159" s="25"/>
      <c r="N159" s="25"/>
      <c r="O159" s="25"/>
      <c r="P159" s="25"/>
      <c r="Q159" s="25"/>
    </row>
    <row r="160" spans="2:17" x14ac:dyDescent="0.3">
      <c r="B160" s="24"/>
      <c r="C160" s="24"/>
      <c r="D160" s="24"/>
      <c r="E160" s="24"/>
      <c r="F160" s="24"/>
      <c r="G160" s="24"/>
      <c r="H160" s="25"/>
      <c r="I160" s="25"/>
      <c r="J160" s="25"/>
      <c r="K160" s="25"/>
      <c r="L160" s="25"/>
      <c r="M160" s="25"/>
      <c r="N160" s="25"/>
      <c r="O160" s="25"/>
      <c r="P160" s="25"/>
      <c r="Q160" s="25"/>
    </row>
    <row r="161" spans="2:17" x14ac:dyDescent="0.3">
      <c r="B161" s="24"/>
      <c r="C161" s="24"/>
      <c r="D161" s="24"/>
      <c r="E161" s="24"/>
      <c r="F161" s="24"/>
      <c r="G161" s="24"/>
      <c r="H161" s="25"/>
      <c r="I161" s="25"/>
      <c r="J161" s="25"/>
      <c r="K161" s="25"/>
      <c r="L161" s="25"/>
      <c r="M161" s="25"/>
      <c r="N161" s="25"/>
      <c r="O161" s="25"/>
      <c r="P161" s="25"/>
      <c r="Q161" s="25"/>
    </row>
    <row r="162" spans="2:17" x14ac:dyDescent="0.3">
      <c r="B162" s="24"/>
      <c r="C162" s="24"/>
      <c r="D162" s="24"/>
      <c r="E162" s="24"/>
      <c r="F162" s="24"/>
      <c r="G162" s="24"/>
      <c r="H162" s="25"/>
      <c r="I162" s="25"/>
      <c r="J162" s="25"/>
      <c r="K162" s="25"/>
      <c r="L162" s="25"/>
      <c r="M162" s="25"/>
      <c r="N162" s="25"/>
      <c r="O162" s="25"/>
      <c r="P162" s="25"/>
      <c r="Q162" s="25"/>
    </row>
    <row r="163" spans="2:17" x14ac:dyDescent="0.3">
      <c r="B163" s="24"/>
      <c r="C163" s="24"/>
      <c r="D163" s="24"/>
      <c r="E163" s="24"/>
      <c r="F163" s="24"/>
      <c r="G163" s="24"/>
      <c r="H163" s="25"/>
      <c r="I163" s="25"/>
      <c r="J163" s="25"/>
      <c r="K163" s="25"/>
      <c r="L163" s="25"/>
      <c r="M163" s="25"/>
      <c r="N163" s="25"/>
      <c r="O163" s="25"/>
      <c r="P163" s="25"/>
      <c r="Q163" s="25"/>
    </row>
    <row r="164" spans="2:17" x14ac:dyDescent="0.3">
      <c r="B164" s="24"/>
      <c r="C164" s="24"/>
      <c r="D164" s="24"/>
      <c r="E164" s="24"/>
      <c r="F164" s="24"/>
      <c r="G164" s="24"/>
      <c r="H164" s="25"/>
      <c r="I164" s="25"/>
      <c r="J164" s="25"/>
      <c r="K164" s="25"/>
      <c r="L164" s="25"/>
      <c r="M164" s="25"/>
      <c r="N164" s="25"/>
      <c r="O164" s="25"/>
      <c r="P164" s="25"/>
      <c r="Q164" s="25"/>
    </row>
    <row r="165" spans="2:17" x14ac:dyDescent="0.3">
      <c r="B165" s="24"/>
      <c r="C165" s="24"/>
      <c r="D165" s="24"/>
      <c r="E165" s="24"/>
      <c r="F165" s="24"/>
      <c r="G165" s="24"/>
      <c r="H165" s="25"/>
      <c r="I165" s="25"/>
      <c r="J165" s="25"/>
      <c r="K165" s="25"/>
      <c r="L165" s="25"/>
      <c r="M165" s="25"/>
      <c r="N165" s="25"/>
      <c r="O165" s="25"/>
      <c r="P165" s="25"/>
      <c r="Q165" s="25"/>
    </row>
    <row r="166" spans="2:17" x14ac:dyDescent="0.3">
      <c r="B166" s="24"/>
      <c r="C166" s="24"/>
      <c r="D166" s="24"/>
      <c r="E166" s="24"/>
      <c r="F166" s="24"/>
      <c r="G166" s="24"/>
      <c r="H166" s="25"/>
      <c r="I166" s="25"/>
      <c r="J166" s="25"/>
      <c r="K166" s="25"/>
      <c r="L166" s="25"/>
      <c r="M166" s="25"/>
      <c r="N166" s="25"/>
      <c r="O166" s="25"/>
      <c r="P166" s="25"/>
      <c r="Q166" s="25"/>
    </row>
    <row r="167" spans="2:17" x14ac:dyDescent="0.3">
      <c r="B167" s="24"/>
      <c r="C167" s="24"/>
      <c r="D167" s="24"/>
      <c r="E167" s="24"/>
      <c r="F167" s="24"/>
      <c r="G167" s="24"/>
      <c r="H167" s="25"/>
      <c r="I167" s="25"/>
      <c r="J167" s="25"/>
      <c r="K167" s="25"/>
      <c r="L167" s="25"/>
      <c r="M167" s="25"/>
      <c r="N167" s="25"/>
      <c r="O167" s="25"/>
      <c r="P167" s="25"/>
      <c r="Q167" s="25"/>
    </row>
    <row r="168" spans="2:17" x14ac:dyDescent="0.3">
      <c r="B168" s="24"/>
      <c r="C168" s="24"/>
      <c r="D168" s="24"/>
      <c r="E168" s="24"/>
      <c r="F168" s="24"/>
      <c r="G168" s="24"/>
      <c r="H168" s="25"/>
      <c r="I168" s="25"/>
      <c r="J168" s="25"/>
      <c r="K168" s="25"/>
      <c r="L168" s="25"/>
      <c r="M168" s="25"/>
      <c r="N168" s="25"/>
      <c r="O168" s="25"/>
      <c r="P168" s="25"/>
      <c r="Q168" s="25"/>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indexed="60"/>
    <outlinePr applyStyles="1" summaryBelow="0"/>
    <pageSetUpPr fitToPage="1"/>
  </sheetPr>
  <dimension ref="A2:S247"/>
  <sheetViews>
    <sheetView zoomScaleNormal="100" workbookViewId="0">
      <selection activeCell="A8" sqref="A8"/>
    </sheetView>
  </sheetViews>
  <sheetFormatPr defaultColWidth="9.1796875" defaultRowHeight="13" outlineLevelRow="1" x14ac:dyDescent="0.3"/>
  <cols>
    <col min="1" max="1" width="58.1796875" style="21" bestFit="1" customWidth="1"/>
    <col min="2" max="2" width="12.453125" style="22" bestFit="1" customWidth="1"/>
    <col min="3" max="3" width="13.54296875" style="22" bestFit="1" customWidth="1"/>
    <col min="4" max="4" width="10.26953125" style="71" customWidth="1"/>
    <col min="5" max="6" width="13.54296875" style="22" bestFit="1" customWidth="1"/>
    <col min="7" max="7" width="10.26953125" style="71" customWidth="1"/>
    <col min="8" max="8" width="12.7265625" style="22" hidden="1" customWidth="1"/>
    <col min="9" max="9" width="16.54296875" style="22" bestFit="1" customWidth="1"/>
    <col min="10" max="10" width="9.1796875" style="21" customWidth="1"/>
    <col min="11" max="16384" width="9.1796875" style="21"/>
  </cols>
  <sheetData>
    <row r="2" spans="1:19" ht="38.25" customHeight="1" x14ac:dyDescent="0.45">
      <c r="A2" s="289" t="str">
        <f>DEBT_BY_CONVENTIONAKITY</f>
        <v>Структура боргу за ознакою умовності
на кінець попереднього року та на звітну дату</v>
      </c>
      <c r="B2" s="280"/>
      <c r="C2" s="280"/>
      <c r="D2" s="280"/>
      <c r="E2" s="280"/>
      <c r="F2" s="280"/>
      <c r="G2" s="280"/>
      <c r="H2" s="280"/>
      <c r="I2" s="280"/>
      <c r="J2" s="25"/>
      <c r="K2" s="25"/>
      <c r="L2" s="25"/>
      <c r="M2" s="25"/>
      <c r="N2" s="25"/>
      <c r="O2" s="25"/>
      <c r="P2" s="25"/>
      <c r="Q2" s="25"/>
      <c r="R2" s="25"/>
      <c r="S2" s="25"/>
    </row>
    <row r="3" spans="1:19" x14ac:dyDescent="0.3">
      <c r="A3" s="23"/>
    </row>
    <row r="4" spans="1:19" s="26" customFormat="1" x14ac:dyDescent="0.3">
      <c r="B4" s="27"/>
      <c r="C4" s="27"/>
      <c r="D4" s="66"/>
      <c r="E4" s="27"/>
      <c r="F4" s="27"/>
      <c r="G4" s="66"/>
      <c r="H4" s="27" t="s">
        <v>56</v>
      </c>
      <c r="I4" s="26" t="str">
        <f>VALVAL</f>
        <v>млрд. одиниць</v>
      </c>
    </row>
    <row r="5" spans="1:19" s="52" customFormat="1" x14ac:dyDescent="0.25">
      <c r="A5" s="77"/>
      <c r="B5" s="283">
        <v>45291</v>
      </c>
      <c r="C5" s="284"/>
      <c r="D5" s="285"/>
      <c r="E5" s="283">
        <v>45657</v>
      </c>
      <c r="F5" s="284"/>
      <c r="G5" s="285"/>
      <c r="H5" s="78"/>
      <c r="I5" s="78"/>
    </row>
    <row r="6" spans="1:19" s="79" customFormat="1" x14ac:dyDescent="0.25">
      <c r="A6" s="11"/>
      <c r="B6" s="67" t="str">
        <f>USD</f>
        <v>дол.США</v>
      </c>
      <c r="C6" s="67" t="str">
        <f>UAH</f>
        <v>грн.</v>
      </c>
      <c r="D6" s="68" t="s">
        <v>0</v>
      </c>
      <c r="E6" s="67" t="str">
        <f>USD</f>
        <v>дол.США</v>
      </c>
      <c r="F6" s="67" t="str">
        <f>UAH</f>
        <v>грн.</v>
      </c>
      <c r="G6" s="68" t="s">
        <v>0</v>
      </c>
      <c r="H6" s="67" t="s">
        <v>0</v>
      </c>
      <c r="I6" s="67" t="str">
        <f>CHANGE_OF_STRUCTURE</f>
        <v>Зміна структури</v>
      </c>
    </row>
    <row r="7" spans="1:19" s="14" customFormat="1" ht="14.5" x14ac:dyDescent="0.25">
      <c r="A7" s="155" t="str">
        <f>DEBT_TOTAL</f>
        <v>Загальна сума державного та гарантованого державою боргу</v>
      </c>
      <c r="B7" s="124">
        <f t="shared" ref="B7:G7" si="0">SUM(B$8+ B$9)</f>
        <v>145.32087120896</v>
      </c>
      <c r="C7" s="124">
        <f t="shared" si="0"/>
        <v>5519.6354586101497</v>
      </c>
      <c r="D7" s="125">
        <f t="shared" si="0"/>
        <v>1</v>
      </c>
      <c r="E7" s="124">
        <f t="shared" si="0"/>
        <v>166.05851744312</v>
      </c>
      <c r="F7" s="124">
        <f t="shared" si="0"/>
        <v>6980.93401478539</v>
      </c>
      <c r="G7" s="125">
        <f t="shared" si="0"/>
        <v>1</v>
      </c>
      <c r="H7" s="124"/>
      <c r="I7" s="124">
        <f>SUM(I$8+ I$9)</f>
        <v>0</v>
      </c>
    </row>
    <row r="8" spans="1:19" s="37" customFormat="1" outlineLevel="1" x14ac:dyDescent="0.25">
      <c r="A8" s="159" t="s">
        <v>1</v>
      </c>
      <c r="B8" s="165">
        <v>136.59196737241001</v>
      </c>
      <c r="C8" s="165">
        <v>5188.0907415274296</v>
      </c>
      <c r="D8" s="229">
        <v>0.93993400000000005</v>
      </c>
      <c r="E8" s="165">
        <v>159.19557804599</v>
      </c>
      <c r="F8" s="165">
        <v>6692.4229054677799</v>
      </c>
      <c r="G8" s="229">
        <v>0.95867199999999997</v>
      </c>
      <c r="H8" s="165">
        <v>1.8738000000000001E-2</v>
      </c>
      <c r="I8" s="18">
        <v>-21.4</v>
      </c>
    </row>
    <row r="9" spans="1:19" s="37" customFormat="1" outlineLevel="1" x14ac:dyDescent="0.25">
      <c r="A9" s="159" t="s">
        <v>2</v>
      </c>
      <c r="B9" s="165">
        <v>8.7289038365499998</v>
      </c>
      <c r="C9" s="165">
        <v>331.54471708272001</v>
      </c>
      <c r="D9" s="229">
        <v>6.0066000000000001E-2</v>
      </c>
      <c r="E9" s="165">
        <v>6.8629393971299999</v>
      </c>
      <c r="F9" s="165">
        <v>288.51110931761002</v>
      </c>
      <c r="G9" s="229">
        <v>4.1327999999999997E-2</v>
      </c>
      <c r="H9" s="165">
        <v>-1.8738000000000001E-2</v>
      </c>
      <c r="I9" s="18">
        <v>21.4</v>
      </c>
    </row>
    <row r="10" spans="1:19" x14ac:dyDescent="0.3">
      <c r="B10" s="24"/>
      <c r="C10" s="24"/>
      <c r="D10" s="62"/>
      <c r="E10" s="24"/>
      <c r="F10" s="24"/>
      <c r="G10" s="62"/>
      <c r="H10" s="24"/>
      <c r="I10" s="24"/>
      <c r="J10" s="25"/>
      <c r="K10" s="25"/>
      <c r="L10" s="25"/>
      <c r="M10" s="25"/>
      <c r="N10" s="25"/>
      <c r="O10" s="25"/>
      <c r="P10" s="25"/>
      <c r="Q10" s="25"/>
    </row>
    <row r="11" spans="1:19" x14ac:dyDescent="0.3">
      <c r="B11" s="24"/>
      <c r="C11" s="24"/>
      <c r="D11" s="62"/>
      <c r="E11" s="24"/>
      <c r="F11" s="24"/>
      <c r="G11" s="62"/>
      <c r="H11" s="24"/>
      <c r="I11" s="24"/>
      <c r="J11" s="25"/>
      <c r="K11" s="25"/>
      <c r="L11" s="25"/>
      <c r="M11" s="25"/>
      <c r="N11" s="25"/>
      <c r="O11" s="25"/>
      <c r="P11" s="25"/>
      <c r="Q11" s="25"/>
    </row>
    <row r="12" spans="1:19" x14ac:dyDescent="0.3">
      <c r="B12" s="24"/>
      <c r="C12" s="24"/>
      <c r="D12" s="62"/>
      <c r="E12" s="24"/>
      <c r="F12" s="24"/>
      <c r="G12" s="62"/>
      <c r="H12" s="24"/>
      <c r="I12" s="24"/>
      <c r="J12" s="25"/>
      <c r="K12" s="25"/>
      <c r="L12" s="25"/>
      <c r="M12" s="25"/>
      <c r="N12" s="25"/>
      <c r="O12" s="25"/>
      <c r="P12" s="25"/>
      <c r="Q12" s="25"/>
    </row>
    <row r="13" spans="1:19" x14ac:dyDescent="0.3">
      <c r="B13" s="24"/>
      <c r="C13" s="24"/>
      <c r="D13" s="62"/>
      <c r="E13" s="24"/>
      <c r="F13" s="24"/>
      <c r="G13" s="62"/>
      <c r="H13" s="24"/>
      <c r="I13" s="24"/>
      <c r="J13" s="25"/>
      <c r="K13" s="25"/>
      <c r="L13" s="25"/>
      <c r="M13" s="25"/>
      <c r="N13" s="25"/>
      <c r="O13" s="25"/>
      <c r="P13" s="25"/>
      <c r="Q13" s="25"/>
    </row>
    <row r="14" spans="1:19" x14ac:dyDescent="0.3">
      <c r="B14" s="24"/>
      <c r="C14" s="24"/>
      <c r="D14" s="62"/>
      <c r="E14" s="24"/>
      <c r="F14" s="24"/>
      <c r="G14" s="62"/>
      <c r="H14" s="24"/>
      <c r="I14" s="24"/>
      <c r="J14" s="25"/>
      <c r="K14" s="25"/>
      <c r="L14" s="25"/>
      <c r="M14" s="25"/>
      <c r="N14" s="25"/>
      <c r="O14" s="25"/>
      <c r="P14" s="25"/>
      <c r="Q14" s="25"/>
    </row>
    <row r="15" spans="1:19" x14ac:dyDescent="0.3">
      <c r="B15" s="24"/>
      <c r="C15" s="24"/>
      <c r="D15" s="62"/>
      <c r="E15" s="24"/>
      <c r="F15" s="24"/>
      <c r="G15" s="62"/>
      <c r="H15" s="24"/>
      <c r="I15" s="24"/>
      <c r="J15" s="25"/>
      <c r="K15" s="25"/>
      <c r="L15" s="25"/>
      <c r="M15" s="25"/>
      <c r="N15" s="25"/>
      <c r="O15" s="25"/>
      <c r="P15" s="25"/>
      <c r="Q15" s="25"/>
    </row>
    <row r="16" spans="1:19" x14ac:dyDescent="0.3">
      <c r="B16" s="24"/>
      <c r="C16" s="24"/>
      <c r="D16" s="62"/>
      <c r="E16" s="24"/>
      <c r="F16" s="24"/>
      <c r="G16" s="62"/>
      <c r="H16" s="24"/>
      <c r="I16" s="24"/>
      <c r="J16" s="25"/>
      <c r="K16" s="25"/>
      <c r="L16" s="25"/>
      <c r="M16" s="25"/>
      <c r="N16" s="25"/>
      <c r="O16" s="25"/>
      <c r="P16" s="25"/>
      <c r="Q16" s="25"/>
    </row>
    <row r="17" spans="2:17" x14ac:dyDescent="0.3">
      <c r="B17" s="24"/>
      <c r="C17" s="24"/>
      <c r="D17" s="62"/>
      <c r="E17" s="24"/>
      <c r="F17" s="24"/>
      <c r="G17" s="62"/>
      <c r="H17" s="24"/>
      <c r="I17" s="24"/>
      <c r="J17" s="25"/>
      <c r="K17" s="25"/>
      <c r="L17" s="25"/>
      <c r="M17" s="25"/>
      <c r="N17" s="25"/>
      <c r="O17" s="25"/>
      <c r="P17" s="25"/>
      <c r="Q17" s="25"/>
    </row>
    <row r="18" spans="2:17" x14ac:dyDescent="0.3">
      <c r="B18" s="24"/>
      <c r="C18" s="24"/>
      <c r="D18" s="62"/>
      <c r="E18" s="24"/>
      <c r="F18" s="24"/>
      <c r="G18" s="62"/>
      <c r="H18" s="24"/>
      <c r="I18" s="24"/>
      <c r="J18" s="25"/>
      <c r="K18" s="25"/>
      <c r="L18" s="25"/>
      <c r="M18" s="25"/>
      <c r="N18" s="25"/>
      <c r="O18" s="25"/>
      <c r="P18" s="25"/>
      <c r="Q18" s="25"/>
    </row>
    <row r="19" spans="2:17" x14ac:dyDescent="0.3">
      <c r="B19" s="24"/>
      <c r="C19" s="24"/>
      <c r="D19" s="62"/>
      <c r="E19" s="24"/>
      <c r="F19" s="24"/>
      <c r="G19" s="62"/>
      <c r="H19" s="24"/>
      <c r="I19" s="24"/>
      <c r="J19" s="25"/>
      <c r="K19" s="25"/>
      <c r="L19" s="25"/>
      <c r="M19" s="25"/>
      <c r="N19" s="25"/>
      <c r="O19" s="25"/>
      <c r="P19" s="25"/>
      <c r="Q19" s="25"/>
    </row>
    <row r="20" spans="2:17" x14ac:dyDescent="0.3">
      <c r="B20" s="24"/>
      <c r="C20" s="24"/>
      <c r="D20" s="62"/>
      <c r="E20" s="24"/>
      <c r="F20" s="24"/>
      <c r="G20" s="62"/>
      <c r="H20" s="24"/>
      <c r="I20" s="24"/>
      <c r="J20" s="25"/>
      <c r="K20" s="25"/>
      <c r="L20" s="25"/>
      <c r="M20" s="25"/>
      <c r="N20" s="25"/>
      <c r="O20" s="25"/>
      <c r="P20" s="25"/>
      <c r="Q20" s="25"/>
    </row>
    <row r="21" spans="2:17" x14ac:dyDescent="0.3">
      <c r="B21" s="24"/>
      <c r="C21" s="24"/>
      <c r="D21" s="62"/>
      <c r="E21" s="24"/>
      <c r="F21" s="24"/>
      <c r="G21" s="62"/>
      <c r="H21" s="24"/>
      <c r="I21" s="24"/>
      <c r="J21" s="25"/>
      <c r="K21" s="25"/>
      <c r="L21" s="25"/>
      <c r="M21" s="25"/>
      <c r="N21" s="25"/>
      <c r="O21" s="25"/>
      <c r="P21" s="25"/>
      <c r="Q21" s="25"/>
    </row>
    <row r="22" spans="2:17" x14ac:dyDescent="0.3">
      <c r="B22" s="24"/>
      <c r="C22" s="24"/>
      <c r="D22" s="62"/>
      <c r="E22" s="24"/>
      <c r="F22" s="24"/>
      <c r="G22" s="62"/>
      <c r="H22" s="24"/>
      <c r="I22" s="24"/>
      <c r="J22" s="25"/>
      <c r="K22" s="25"/>
      <c r="L22" s="25"/>
      <c r="M22" s="25"/>
      <c r="N22" s="25"/>
      <c r="O22" s="25"/>
      <c r="P22" s="25"/>
      <c r="Q22" s="25"/>
    </row>
    <row r="23" spans="2:17" x14ac:dyDescent="0.3">
      <c r="B23" s="24"/>
      <c r="C23" s="24"/>
      <c r="D23" s="62"/>
      <c r="E23" s="24"/>
      <c r="F23" s="24"/>
      <c r="G23" s="62"/>
      <c r="H23" s="24"/>
      <c r="I23" s="24"/>
      <c r="J23" s="25"/>
      <c r="K23" s="25"/>
      <c r="L23" s="25"/>
      <c r="M23" s="25"/>
      <c r="N23" s="25"/>
      <c r="O23" s="25"/>
      <c r="P23" s="25"/>
      <c r="Q23" s="25"/>
    </row>
    <row r="24" spans="2:17" x14ac:dyDescent="0.3">
      <c r="B24" s="24"/>
      <c r="C24" s="24"/>
      <c r="D24" s="62"/>
      <c r="E24" s="24"/>
      <c r="F24" s="24"/>
      <c r="G24" s="62"/>
      <c r="H24" s="24"/>
      <c r="I24" s="24"/>
      <c r="J24" s="25"/>
      <c r="K24" s="25"/>
      <c r="L24" s="25"/>
      <c r="M24" s="25"/>
      <c r="N24" s="25"/>
      <c r="O24" s="25"/>
      <c r="P24" s="25"/>
      <c r="Q24" s="25"/>
    </row>
    <row r="25" spans="2:17" x14ac:dyDescent="0.3">
      <c r="B25" s="24"/>
      <c r="C25" s="24"/>
      <c r="D25" s="62"/>
      <c r="E25" s="24"/>
      <c r="F25" s="24"/>
      <c r="G25" s="62"/>
      <c r="H25" s="24"/>
      <c r="I25" s="24"/>
      <c r="J25" s="25"/>
      <c r="K25" s="25"/>
      <c r="L25" s="25"/>
      <c r="M25" s="25"/>
      <c r="N25" s="25"/>
      <c r="O25" s="25"/>
      <c r="P25" s="25"/>
      <c r="Q25" s="25"/>
    </row>
    <row r="26" spans="2:17" x14ac:dyDescent="0.3">
      <c r="B26" s="24"/>
      <c r="C26" s="24"/>
      <c r="D26" s="62"/>
      <c r="E26" s="24"/>
      <c r="F26" s="24"/>
      <c r="G26" s="62"/>
      <c r="H26" s="24"/>
      <c r="I26" s="24"/>
      <c r="J26" s="25"/>
      <c r="K26" s="25"/>
      <c r="L26" s="25"/>
      <c r="M26" s="25"/>
      <c r="N26" s="25"/>
      <c r="O26" s="25"/>
      <c r="P26" s="25"/>
      <c r="Q26" s="25"/>
    </row>
    <row r="27" spans="2:17" x14ac:dyDescent="0.3">
      <c r="B27" s="24"/>
      <c r="C27" s="24"/>
      <c r="D27" s="62"/>
      <c r="E27" s="24"/>
      <c r="F27" s="24"/>
      <c r="G27" s="62"/>
      <c r="H27" s="24"/>
      <c r="I27" s="24"/>
      <c r="J27" s="25"/>
      <c r="K27" s="25"/>
      <c r="L27" s="25"/>
      <c r="M27" s="25"/>
      <c r="N27" s="25"/>
      <c r="O27" s="25"/>
      <c r="P27" s="25"/>
      <c r="Q27" s="25"/>
    </row>
    <row r="28" spans="2:17" x14ac:dyDescent="0.3">
      <c r="B28" s="24"/>
      <c r="C28" s="24"/>
      <c r="D28" s="62"/>
      <c r="E28" s="24"/>
      <c r="F28" s="24"/>
      <c r="G28" s="62"/>
      <c r="H28" s="24"/>
      <c r="I28" s="24"/>
      <c r="J28" s="25"/>
      <c r="K28" s="25"/>
      <c r="L28" s="25"/>
      <c r="M28" s="25"/>
      <c r="N28" s="25"/>
      <c r="O28" s="25"/>
      <c r="P28" s="25"/>
      <c r="Q28" s="25"/>
    </row>
    <row r="29" spans="2:17" x14ac:dyDescent="0.3">
      <c r="B29" s="24"/>
      <c r="C29" s="24"/>
      <c r="D29" s="62"/>
      <c r="E29" s="24"/>
      <c r="F29" s="24"/>
      <c r="G29" s="62"/>
      <c r="H29" s="24"/>
      <c r="I29" s="24"/>
      <c r="J29" s="25"/>
      <c r="K29" s="25"/>
      <c r="L29" s="25"/>
      <c r="M29" s="25"/>
      <c r="N29" s="25"/>
      <c r="O29" s="25"/>
      <c r="P29" s="25"/>
      <c r="Q29" s="25"/>
    </row>
    <row r="30" spans="2:17" x14ac:dyDescent="0.3">
      <c r="B30" s="24"/>
      <c r="C30" s="24"/>
      <c r="D30" s="62"/>
      <c r="E30" s="24"/>
      <c r="F30" s="24"/>
      <c r="G30" s="62"/>
      <c r="H30" s="24"/>
      <c r="I30" s="24"/>
      <c r="J30" s="25"/>
      <c r="K30" s="25"/>
      <c r="L30" s="25"/>
      <c r="M30" s="25"/>
      <c r="N30" s="25"/>
      <c r="O30" s="25"/>
      <c r="P30" s="25"/>
      <c r="Q30" s="25"/>
    </row>
    <row r="31" spans="2:17" x14ac:dyDescent="0.3">
      <c r="B31" s="24"/>
      <c r="C31" s="24"/>
      <c r="D31" s="62"/>
      <c r="E31" s="24"/>
      <c r="F31" s="24"/>
      <c r="G31" s="62"/>
      <c r="H31" s="24"/>
      <c r="I31" s="24"/>
      <c r="J31" s="25"/>
      <c r="K31" s="25"/>
      <c r="L31" s="25"/>
      <c r="M31" s="25"/>
      <c r="N31" s="25"/>
      <c r="O31" s="25"/>
      <c r="P31" s="25"/>
      <c r="Q31" s="25"/>
    </row>
    <row r="32" spans="2:17" x14ac:dyDescent="0.3">
      <c r="B32" s="24"/>
      <c r="C32" s="24"/>
      <c r="D32" s="62"/>
      <c r="E32" s="24"/>
      <c r="F32" s="24"/>
      <c r="G32" s="62"/>
      <c r="H32" s="24"/>
      <c r="I32" s="24"/>
      <c r="J32" s="25"/>
      <c r="K32" s="25"/>
      <c r="L32" s="25"/>
      <c r="M32" s="25"/>
      <c r="N32" s="25"/>
      <c r="O32" s="25"/>
      <c r="P32" s="25"/>
      <c r="Q32" s="25"/>
    </row>
    <row r="33" spans="2:17" x14ac:dyDescent="0.3">
      <c r="B33" s="24"/>
      <c r="C33" s="24"/>
      <c r="D33" s="62"/>
      <c r="E33" s="24"/>
      <c r="F33" s="24"/>
      <c r="G33" s="62"/>
      <c r="H33" s="24"/>
      <c r="I33" s="24"/>
      <c r="J33" s="25"/>
      <c r="K33" s="25"/>
      <c r="L33" s="25"/>
      <c r="M33" s="25"/>
      <c r="N33" s="25"/>
      <c r="O33" s="25"/>
      <c r="P33" s="25"/>
      <c r="Q33" s="25"/>
    </row>
    <row r="34" spans="2:17" x14ac:dyDescent="0.3">
      <c r="B34" s="24"/>
      <c r="C34" s="24"/>
      <c r="D34" s="62"/>
      <c r="E34" s="24"/>
      <c r="F34" s="24"/>
      <c r="G34" s="62"/>
      <c r="H34" s="24"/>
      <c r="I34" s="24"/>
      <c r="J34" s="25"/>
      <c r="K34" s="25"/>
      <c r="L34" s="25"/>
      <c r="M34" s="25"/>
      <c r="N34" s="25"/>
      <c r="O34" s="25"/>
      <c r="P34" s="25"/>
      <c r="Q34" s="25"/>
    </row>
    <row r="35" spans="2:17" x14ac:dyDescent="0.3">
      <c r="B35" s="24"/>
      <c r="C35" s="24"/>
      <c r="D35" s="62"/>
      <c r="E35" s="24"/>
      <c r="F35" s="24"/>
      <c r="G35" s="62"/>
      <c r="H35" s="24"/>
      <c r="I35" s="24"/>
      <c r="J35" s="25"/>
      <c r="K35" s="25"/>
      <c r="L35" s="25"/>
      <c r="M35" s="25"/>
      <c r="N35" s="25"/>
      <c r="O35" s="25"/>
      <c r="P35" s="25"/>
      <c r="Q35" s="25"/>
    </row>
    <row r="36" spans="2:17" x14ac:dyDescent="0.3">
      <c r="B36" s="24"/>
      <c r="C36" s="24"/>
      <c r="D36" s="62"/>
      <c r="E36" s="24"/>
      <c r="F36" s="24"/>
      <c r="G36" s="62"/>
      <c r="H36" s="24"/>
      <c r="I36" s="24"/>
      <c r="J36" s="25"/>
      <c r="K36" s="25"/>
      <c r="L36" s="25"/>
      <c r="M36" s="25"/>
      <c r="N36" s="25"/>
      <c r="O36" s="25"/>
      <c r="P36" s="25"/>
      <c r="Q36" s="25"/>
    </row>
    <row r="37" spans="2:17" x14ac:dyDescent="0.3">
      <c r="B37" s="24"/>
      <c r="C37" s="24"/>
      <c r="D37" s="62"/>
      <c r="E37" s="24"/>
      <c r="F37" s="24"/>
      <c r="G37" s="62"/>
      <c r="H37" s="24"/>
      <c r="I37" s="24"/>
      <c r="J37" s="25"/>
      <c r="K37" s="25"/>
      <c r="L37" s="25"/>
      <c r="M37" s="25"/>
      <c r="N37" s="25"/>
      <c r="O37" s="25"/>
      <c r="P37" s="25"/>
      <c r="Q37" s="25"/>
    </row>
    <row r="38" spans="2:17" x14ac:dyDescent="0.3">
      <c r="B38" s="24"/>
      <c r="C38" s="24"/>
      <c r="D38" s="62"/>
      <c r="E38" s="24"/>
      <c r="F38" s="24"/>
      <c r="G38" s="62"/>
      <c r="H38" s="24"/>
      <c r="I38" s="24"/>
      <c r="J38" s="25"/>
      <c r="K38" s="25"/>
      <c r="L38" s="25"/>
      <c r="M38" s="25"/>
      <c r="N38" s="25"/>
      <c r="O38" s="25"/>
      <c r="P38" s="25"/>
      <c r="Q38" s="25"/>
    </row>
    <row r="39" spans="2:17" x14ac:dyDescent="0.3">
      <c r="B39" s="24"/>
      <c r="C39" s="24"/>
      <c r="D39" s="62"/>
      <c r="E39" s="24"/>
      <c r="F39" s="24"/>
      <c r="G39" s="62"/>
      <c r="H39" s="24"/>
      <c r="I39" s="24"/>
      <c r="J39" s="25"/>
      <c r="K39" s="25"/>
      <c r="L39" s="25"/>
      <c r="M39" s="25"/>
      <c r="N39" s="25"/>
      <c r="O39" s="25"/>
      <c r="P39" s="25"/>
      <c r="Q39" s="25"/>
    </row>
    <row r="40" spans="2:17" x14ac:dyDescent="0.3">
      <c r="B40" s="24"/>
      <c r="C40" s="24"/>
      <c r="D40" s="62"/>
      <c r="E40" s="24"/>
      <c r="F40" s="24"/>
      <c r="G40" s="62"/>
      <c r="H40" s="24"/>
      <c r="I40" s="24"/>
      <c r="J40" s="25"/>
      <c r="K40" s="25"/>
      <c r="L40" s="25"/>
      <c r="M40" s="25"/>
      <c r="N40" s="25"/>
      <c r="O40" s="25"/>
      <c r="P40" s="25"/>
      <c r="Q40" s="25"/>
    </row>
    <row r="41" spans="2:17" x14ac:dyDescent="0.3">
      <c r="B41" s="24"/>
      <c r="C41" s="24"/>
      <c r="D41" s="62"/>
      <c r="E41" s="24"/>
      <c r="F41" s="24"/>
      <c r="G41" s="62"/>
      <c r="H41" s="24"/>
      <c r="I41" s="24"/>
      <c r="J41" s="25"/>
      <c r="K41" s="25"/>
      <c r="L41" s="25"/>
      <c r="M41" s="25"/>
      <c r="N41" s="25"/>
      <c r="O41" s="25"/>
      <c r="P41" s="25"/>
      <c r="Q41" s="25"/>
    </row>
    <row r="42" spans="2:17" x14ac:dyDescent="0.3">
      <c r="B42" s="24"/>
      <c r="C42" s="24"/>
      <c r="D42" s="62"/>
      <c r="E42" s="24"/>
      <c r="F42" s="24"/>
      <c r="G42" s="62"/>
      <c r="H42" s="24"/>
      <c r="I42" s="24"/>
      <c r="J42" s="25"/>
      <c r="K42" s="25"/>
      <c r="L42" s="25"/>
      <c r="M42" s="25"/>
      <c r="N42" s="25"/>
      <c r="O42" s="25"/>
      <c r="P42" s="25"/>
      <c r="Q42" s="25"/>
    </row>
    <row r="43" spans="2:17" x14ac:dyDescent="0.3">
      <c r="B43" s="24"/>
      <c r="C43" s="24"/>
      <c r="D43" s="62"/>
      <c r="E43" s="24"/>
      <c r="F43" s="24"/>
      <c r="G43" s="62"/>
      <c r="H43" s="24"/>
      <c r="I43" s="24"/>
      <c r="J43" s="25"/>
      <c r="K43" s="25"/>
      <c r="L43" s="25"/>
      <c r="M43" s="25"/>
      <c r="N43" s="25"/>
      <c r="O43" s="25"/>
      <c r="P43" s="25"/>
      <c r="Q43" s="25"/>
    </row>
    <row r="44" spans="2:17" x14ac:dyDescent="0.3">
      <c r="B44" s="24"/>
      <c r="C44" s="24"/>
      <c r="D44" s="62"/>
      <c r="E44" s="24"/>
      <c r="F44" s="24"/>
      <c r="G44" s="62"/>
      <c r="H44" s="24"/>
      <c r="I44" s="24"/>
      <c r="J44" s="25"/>
      <c r="K44" s="25"/>
      <c r="L44" s="25"/>
      <c r="M44" s="25"/>
      <c r="N44" s="25"/>
      <c r="O44" s="25"/>
      <c r="P44" s="25"/>
      <c r="Q44" s="25"/>
    </row>
    <row r="45" spans="2:17" x14ac:dyDescent="0.3">
      <c r="B45" s="24"/>
      <c r="C45" s="24"/>
      <c r="D45" s="62"/>
      <c r="E45" s="24"/>
      <c r="F45" s="24"/>
      <c r="G45" s="62"/>
      <c r="H45" s="24"/>
      <c r="I45" s="24"/>
      <c r="J45" s="25"/>
      <c r="K45" s="25"/>
      <c r="L45" s="25"/>
      <c r="M45" s="25"/>
      <c r="N45" s="25"/>
      <c r="O45" s="25"/>
      <c r="P45" s="25"/>
      <c r="Q45" s="25"/>
    </row>
    <row r="46" spans="2:17" x14ac:dyDescent="0.3">
      <c r="B46" s="24"/>
      <c r="C46" s="24"/>
      <c r="D46" s="62"/>
      <c r="E46" s="24"/>
      <c r="F46" s="24"/>
      <c r="G46" s="62"/>
      <c r="H46" s="24"/>
      <c r="I46" s="24"/>
      <c r="J46" s="25"/>
      <c r="K46" s="25"/>
      <c r="L46" s="25"/>
      <c r="M46" s="25"/>
      <c r="N46" s="25"/>
      <c r="O46" s="25"/>
      <c r="P46" s="25"/>
      <c r="Q46" s="25"/>
    </row>
    <row r="47" spans="2:17" x14ac:dyDescent="0.3">
      <c r="B47" s="24"/>
      <c r="C47" s="24"/>
      <c r="D47" s="62"/>
      <c r="E47" s="24"/>
      <c r="F47" s="24"/>
      <c r="G47" s="62"/>
      <c r="H47" s="24"/>
      <c r="I47" s="24"/>
      <c r="J47" s="25"/>
      <c r="K47" s="25"/>
      <c r="L47" s="25"/>
      <c r="M47" s="25"/>
      <c r="N47" s="25"/>
      <c r="O47" s="25"/>
      <c r="P47" s="25"/>
      <c r="Q47" s="25"/>
    </row>
    <row r="48" spans="2:17" x14ac:dyDescent="0.3">
      <c r="B48" s="24"/>
      <c r="C48" s="24"/>
      <c r="D48" s="62"/>
      <c r="E48" s="24"/>
      <c r="F48" s="24"/>
      <c r="G48" s="62"/>
      <c r="H48" s="24"/>
      <c r="I48" s="24"/>
      <c r="J48" s="25"/>
      <c r="K48" s="25"/>
      <c r="L48" s="25"/>
      <c r="M48" s="25"/>
      <c r="N48" s="25"/>
      <c r="O48" s="25"/>
      <c r="P48" s="25"/>
      <c r="Q48" s="25"/>
    </row>
    <row r="49" spans="2:17" x14ac:dyDescent="0.3">
      <c r="B49" s="24"/>
      <c r="C49" s="24"/>
      <c r="D49" s="62"/>
      <c r="E49" s="24"/>
      <c r="F49" s="24"/>
      <c r="G49" s="62"/>
      <c r="H49" s="24"/>
      <c r="I49" s="24"/>
      <c r="J49" s="25"/>
      <c r="K49" s="25"/>
      <c r="L49" s="25"/>
      <c r="M49" s="25"/>
      <c r="N49" s="25"/>
      <c r="O49" s="25"/>
      <c r="P49" s="25"/>
      <c r="Q49" s="25"/>
    </row>
    <row r="50" spans="2:17" x14ac:dyDescent="0.3">
      <c r="B50" s="24"/>
      <c r="C50" s="24"/>
      <c r="D50" s="62"/>
      <c r="E50" s="24"/>
      <c r="F50" s="24"/>
      <c r="G50" s="62"/>
      <c r="H50" s="24"/>
      <c r="I50" s="24"/>
      <c r="J50" s="25"/>
      <c r="K50" s="25"/>
      <c r="L50" s="25"/>
      <c r="M50" s="25"/>
      <c r="N50" s="25"/>
      <c r="O50" s="25"/>
      <c r="P50" s="25"/>
      <c r="Q50" s="25"/>
    </row>
    <row r="51" spans="2:17" x14ac:dyDescent="0.3">
      <c r="B51" s="24"/>
      <c r="C51" s="24"/>
      <c r="D51" s="62"/>
      <c r="E51" s="24"/>
      <c r="F51" s="24"/>
      <c r="G51" s="62"/>
      <c r="H51" s="24"/>
      <c r="I51" s="24"/>
      <c r="J51" s="25"/>
      <c r="K51" s="25"/>
      <c r="L51" s="25"/>
      <c r="M51" s="25"/>
      <c r="N51" s="25"/>
      <c r="O51" s="25"/>
      <c r="P51" s="25"/>
      <c r="Q51" s="25"/>
    </row>
    <row r="52" spans="2:17" x14ac:dyDescent="0.3">
      <c r="B52" s="24"/>
      <c r="C52" s="24"/>
      <c r="D52" s="62"/>
      <c r="E52" s="24"/>
      <c r="F52" s="24"/>
      <c r="G52" s="62"/>
      <c r="H52" s="24"/>
      <c r="I52" s="24"/>
      <c r="J52" s="25"/>
      <c r="K52" s="25"/>
      <c r="L52" s="25"/>
      <c r="M52" s="25"/>
      <c r="N52" s="25"/>
      <c r="O52" s="25"/>
      <c r="P52" s="25"/>
      <c r="Q52" s="25"/>
    </row>
    <row r="53" spans="2:17" x14ac:dyDescent="0.3">
      <c r="B53" s="24"/>
      <c r="C53" s="24"/>
      <c r="D53" s="62"/>
      <c r="E53" s="24"/>
      <c r="F53" s="24"/>
      <c r="G53" s="62"/>
      <c r="H53" s="24"/>
      <c r="I53" s="24"/>
      <c r="J53" s="25"/>
      <c r="K53" s="25"/>
      <c r="L53" s="25"/>
      <c r="M53" s="25"/>
      <c r="N53" s="25"/>
      <c r="O53" s="25"/>
      <c r="P53" s="25"/>
      <c r="Q53" s="25"/>
    </row>
    <row r="54" spans="2:17" x14ac:dyDescent="0.3">
      <c r="B54" s="24"/>
      <c r="C54" s="24"/>
      <c r="D54" s="62"/>
      <c r="E54" s="24"/>
      <c r="F54" s="24"/>
      <c r="G54" s="62"/>
      <c r="H54" s="24"/>
      <c r="I54" s="24"/>
      <c r="J54" s="25"/>
      <c r="K54" s="25"/>
      <c r="L54" s="25"/>
      <c r="M54" s="25"/>
      <c r="N54" s="25"/>
      <c r="O54" s="25"/>
      <c r="P54" s="25"/>
      <c r="Q54" s="25"/>
    </row>
    <row r="55" spans="2:17" x14ac:dyDescent="0.3">
      <c r="B55" s="24"/>
      <c r="C55" s="24"/>
      <c r="D55" s="62"/>
      <c r="E55" s="24"/>
      <c r="F55" s="24"/>
      <c r="G55" s="62"/>
      <c r="H55" s="24"/>
      <c r="I55" s="24"/>
      <c r="J55" s="25"/>
      <c r="K55" s="25"/>
      <c r="L55" s="25"/>
      <c r="M55" s="25"/>
      <c r="N55" s="25"/>
      <c r="O55" s="25"/>
      <c r="P55" s="25"/>
      <c r="Q55" s="25"/>
    </row>
    <row r="56" spans="2:17" x14ac:dyDescent="0.3">
      <c r="B56" s="24"/>
      <c r="C56" s="24"/>
      <c r="D56" s="62"/>
      <c r="E56" s="24"/>
      <c r="F56" s="24"/>
      <c r="G56" s="62"/>
      <c r="H56" s="24"/>
      <c r="I56" s="24"/>
      <c r="J56" s="25"/>
      <c r="K56" s="25"/>
      <c r="L56" s="25"/>
      <c r="M56" s="25"/>
      <c r="N56" s="25"/>
      <c r="O56" s="25"/>
      <c r="P56" s="25"/>
      <c r="Q56" s="25"/>
    </row>
    <row r="57" spans="2:17" x14ac:dyDescent="0.3">
      <c r="B57" s="24"/>
      <c r="C57" s="24"/>
      <c r="D57" s="62"/>
      <c r="E57" s="24"/>
      <c r="F57" s="24"/>
      <c r="G57" s="62"/>
      <c r="H57" s="24"/>
      <c r="I57" s="24"/>
      <c r="J57" s="25"/>
      <c r="K57" s="25"/>
      <c r="L57" s="25"/>
      <c r="M57" s="25"/>
      <c r="N57" s="25"/>
      <c r="O57" s="25"/>
      <c r="P57" s="25"/>
      <c r="Q57" s="25"/>
    </row>
    <row r="58" spans="2:17" x14ac:dyDescent="0.3">
      <c r="B58" s="24"/>
      <c r="C58" s="24"/>
      <c r="D58" s="62"/>
      <c r="E58" s="24"/>
      <c r="F58" s="24"/>
      <c r="G58" s="62"/>
      <c r="H58" s="24"/>
      <c r="I58" s="24"/>
      <c r="J58" s="25"/>
      <c r="K58" s="25"/>
      <c r="L58" s="25"/>
      <c r="M58" s="25"/>
      <c r="N58" s="25"/>
      <c r="O58" s="25"/>
      <c r="P58" s="25"/>
      <c r="Q58" s="25"/>
    </row>
    <row r="59" spans="2:17" x14ac:dyDescent="0.3">
      <c r="B59" s="24"/>
      <c r="C59" s="24"/>
      <c r="D59" s="62"/>
      <c r="E59" s="24"/>
      <c r="F59" s="24"/>
      <c r="G59" s="62"/>
      <c r="H59" s="24"/>
      <c r="I59" s="24"/>
      <c r="J59" s="25"/>
      <c r="K59" s="25"/>
      <c r="L59" s="25"/>
      <c r="M59" s="25"/>
      <c r="N59" s="25"/>
      <c r="O59" s="25"/>
      <c r="P59" s="25"/>
      <c r="Q59" s="25"/>
    </row>
    <row r="60" spans="2:17" x14ac:dyDescent="0.3">
      <c r="B60" s="24"/>
      <c r="C60" s="24"/>
      <c r="D60" s="62"/>
      <c r="E60" s="24"/>
      <c r="F60" s="24"/>
      <c r="G60" s="62"/>
      <c r="H60" s="24"/>
      <c r="I60" s="24"/>
      <c r="J60" s="25"/>
      <c r="K60" s="25"/>
      <c r="L60" s="25"/>
      <c r="M60" s="25"/>
      <c r="N60" s="25"/>
      <c r="O60" s="25"/>
      <c r="P60" s="25"/>
      <c r="Q60" s="25"/>
    </row>
    <row r="61" spans="2:17" x14ac:dyDescent="0.3">
      <c r="B61" s="24"/>
      <c r="C61" s="24"/>
      <c r="D61" s="62"/>
      <c r="E61" s="24"/>
      <c r="F61" s="24"/>
      <c r="G61" s="62"/>
      <c r="H61" s="24"/>
      <c r="I61" s="24"/>
      <c r="J61" s="25"/>
      <c r="K61" s="25"/>
      <c r="L61" s="25"/>
      <c r="M61" s="25"/>
      <c r="N61" s="25"/>
      <c r="O61" s="25"/>
      <c r="P61" s="25"/>
      <c r="Q61" s="25"/>
    </row>
    <row r="62" spans="2:17" x14ac:dyDescent="0.3">
      <c r="B62" s="24"/>
      <c r="C62" s="24"/>
      <c r="D62" s="62"/>
      <c r="E62" s="24"/>
      <c r="F62" s="24"/>
      <c r="G62" s="62"/>
      <c r="H62" s="24"/>
      <c r="I62" s="24"/>
      <c r="J62" s="25"/>
      <c r="K62" s="25"/>
      <c r="L62" s="25"/>
      <c r="M62" s="25"/>
      <c r="N62" s="25"/>
      <c r="O62" s="25"/>
      <c r="P62" s="25"/>
      <c r="Q62" s="25"/>
    </row>
    <row r="63" spans="2:17" x14ac:dyDescent="0.3">
      <c r="B63" s="24"/>
      <c r="C63" s="24"/>
      <c r="D63" s="62"/>
      <c r="E63" s="24"/>
      <c r="F63" s="24"/>
      <c r="G63" s="62"/>
      <c r="H63" s="24"/>
      <c r="I63" s="24"/>
      <c r="J63" s="25"/>
      <c r="K63" s="25"/>
      <c r="L63" s="25"/>
      <c r="M63" s="25"/>
      <c r="N63" s="25"/>
      <c r="O63" s="25"/>
      <c r="P63" s="25"/>
      <c r="Q63" s="25"/>
    </row>
    <row r="64" spans="2:17" x14ac:dyDescent="0.3">
      <c r="B64" s="24"/>
      <c r="C64" s="24"/>
      <c r="D64" s="62"/>
      <c r="E64" s="24"/>
      <c r="F64" s="24"/>
      <c r="G64" s="62"/>
      <c r="H64" s="24"/>
      <c r="I64" s="24"/>
      <c r="J64" s="25"/>
      <c r="K64" s="25"/>
      <c r="L64" s="25"/>
      <c r="M64" s="25"/>
      <c r="N64" s="25"/>
      <c r="O64" s="25"/>
      <c r="P64" s="25"/>
      <c r="Q64" s="25"/>
    </row>
    <row r="65" spans="2:17" x14ac:dyDescent="0.3">
      <c r="B65" s="24"/>
      <c r="C65" s="24"/>
      <c r="D65" s="62"/>
      <c r="E65" s="24"/>
      <c r="F65" s="24"/>
      <c r="G65" s="62"/>
      <c r="H65" s="24"/>
      <c r="I65" s="24"/>
      <c r="J65" s="25"/>
      <c r="K65" s="25"/>
      <c r="L65" s="25"/>
      <c r="M65" s="25"/>
      <c r="N65" s="25"/>
      <c r="O65" s="25"/>
      <c r="P65" s="25"/>
      <c r="Q65" s="25"/>
    </row>
    <row r="66" spans="2:17" x14ac:dyDescent="0.3">
      <c r="B66" s="24"/>
      <c r="C66" s="24"/>
      <c r="D66" s="62"/>
      <c r="E66" s="24"/>
      <c r="F66" s="24"/>
      <c r="G66" s="62"/>
      <c r="H66" s="24"/>
      <c r="I66" s="24"/>
      <c r="J66" s="25"/>
      <c r="K66" s="25"/>
      <c r="L66" s="25"/>
      <c r="M66" s="25"/>
      <c r="N66" s="25"/>
      <c r="O66" s="25"/>
      <c r="P66" s="25"/>
      <c r="Q66" s="25"/>
    </row>
    <row r="67" spans="2:17" x14ac:dyDescent="0.3">
      <c r="B67" s="24"/>
      <c r="C67" s="24"/>
      <c r="D67" s="62"/>
      <c r="E67" s="24"/>
      <c r="F67" s="24"/>
      <c r="G67" s="62"/>
      <c r="H67" s="24"/>
      <c r="I67" s="24"/>
      <c r="J67" s="25"/>
      <c r="K67" s="25"/>
      <c r="L67" s="25"/>
      <c r="M67" s="25"/>
      <c r="N67" s="25"/>
      <c r="O67" s="25"/>
      <c r="P67" s="25"/>
      <c r="Q67" s="25"/>
    </row>
    <row r="68" spans="2:17" x14ac:dyDescent="0.3">
      <c r="B68" s="24"/>
      <c r="C68" s="24"/>
      <c r="D68" s="62"/>
      <c r="E68" s="24"/>
      <c r="F68" s="24"/>
      <c r="G68" s="62"/>
      <c r="H68" s="24"/>
      <c r="I68" s="24"/>
      <c r="J68" s="25"/>
      <c r="K68" s="25"/>
      <c r="L68" s="25"/>
      <c r="M68" s="25"/>
      <c r="N68" s="25"/>
      <c r="O68" s="25"/>
      <c r="P68" s="25"/>
      <c r="Q68" s="25"/>
    </row>
    <row r="69" spans="2:17" x14ac:dyDescent="0.3">
      <c r="B69" s="24"/>
      <c r="C69" s="24"/>
      <c r="D69" s="62"/>
      <c r="E69" s="24"/>
      <c r="F69" s="24"/>
      <c r="G69" s="62"/>
      <c r="H69" s="24"/>
      <c r="I69" s="24"/>
      <c r="J69" s="25"/>
      <c r="K69" s="25"/>
      <c r="L69" s="25"/>
      <c r="M69" s="25"/>
      <c r="N69" s="25"/>
      <c r="O69" s="25"/>
      <c r="P69" s="25"/>
      <c r="Q69" s="25"/>
    </row>
    <row r="70" spans="2:17" x14ac:dyDescent="0.3">
      <c r="B70" s="24"/>
      <c r="C70" s="24"/>
      <c r="D70" s="62"/>
      <c r="E70" s="24"/>
      <c r="F70" s="24"/>
      <c r="G70" s="62"/>
      <c r="H70" s="24"/>
      <c r="I70" s="24"/>
      <c r="J70" s="25"/>
      <c r="K70" s="25"/>
      <c r="L70" s="25"/>
      <c r="M70" s="25"/>
      <c r="N70" s="25"/>
      <c r="O70" s="25"/>
      <c r="P70" s="25"/>
      <c r="Q70" s="25"/>
    </row>
    <row r="71" spans="2:17" x14ac:dyDescent="0.3">
      <c r="B71" s="24"/>
      <c r="C71" s="24"/>
      <c r="D71" s="62"/>
      <c r="E71" s="24"/>
      <c r="F71" s="24"/>
      <c r="G71" s="62"/>
      <c r="H71" s="24"/>
      <c r="I71" s="24"/>
      <c r="J71" s="25"/>
      <c r="K71" s="25"/>
      <c r="L71" s="25"/>
      <c r="M71" s="25"/>
      <c r="N71" s="25"/>
      <c r="O71" s="25"/>
      <c r="P71" s="25"/>
      <c r="Q71" s="25"/>
    </row>
    <row r="72" spans="2:17" x14ac:dyDescent="0.3">
      <c r="B72" s="24"/>
      <c r="C72" s="24"/>
      <c r="D72" s="62"/>
      <c r="E72" s="24"/>
      <c r="F72" s="24"/>
      <c r="G72" s="62"/>
      <c r="H72" s="24"/>
      <c r="I72" s="24"/>
      <c r="J72" s="25"/>
      <c r="K72" s="25"/>
      <c r="L72" s="25"/>
      <c r="M72" s="25"/>
      <c r="N72" s="25"/>
      <c r="O72" s="25"/>
      <c r="P72" s="25"/>
      <c r="Q72" s="25"/>
    </row>
    <row r="73" spans="2:17" x14ac:dyDescent="0.3">
      <c r="B73" s="24"/>
      <c r="C73" s="24"/>
      <c r="D73" s="62"/>
      <c r="E73" s="24"/>
      <c r="F73" s="24"/>
      <c r="G73" s="62"/>
      <c r="H73" s="24"/>
      <c r="I73" s="24"/>
      <c r="J73" s="25"/>
      <c r="K73" s="25"/>
      <c r="L73" s="25"/>
      <c r="M73" s="25"/>
      <c r="N73" s="25"/>
      <c r="O73" s="25"/>
      <c r="P73" s="25"/>
      <c r="Q73" s="25"/>
    </row>
    <row r="74" spans="2:17" x14ac:dyDescent="0.3">
      <c r="B74" s="24"/>
      <c r="C74" s="24"/>
      <c r="D74" s="62"/>
      <c r="E74" s="24"/>
      <c r="F74" s="24"/>
      <c r="G74" s="62"/>
      <c r="H74" s="24"/>
      <c r="I74" s="24"/>
      <c r="J74" s="25"/>
      <c r="K74" s="25"/>
      <c r="L74" s="25"/>
      <c r="M74" s="25"/>
      <c r="N74" s="25"/>
      <c r="O74" s="25"/>
      <c r="P74" s="25"/>
      <c r="Q74" s="25"/>
    </row>
    <row r="75" spans="2:17" x14ac:dyDescent="0.3">
      <c r="B75" s="24"/>
      <c r="C75" s="24"/>
      <c r="D75" s="62"/>
      <c r="E75" s="24"/>
      <c r="F75" s="24"/>
      <c r="G75" s="62"/>
      <c r="H75" s="24"/>
      <c r="I75" s="24"/>
      <c r="J75" s="25"/>
      <c r="K75" s="25"/>
      <c r="L75" s="25"/>
      <c r="M75" s="25"/>
      <c r="N75" s="25"/>
      <c r="O75" s="25"/>
      <c r="P75" s="25"/>
      <c r="Q75" s="25"/>
    </row>
    <row r="76" spans="2:17" x14ac:dyDescent="0.3">
      <c r="B76" s="24"/>
      <c r="C76" s="24"/>
      <c r="D76" s="62"/>
      <c r="E76" s="24"/>
      <c r="F76" s="24"/>
      <c r="G76" s="62"/>
      <c r="H76" s="24"/>
      <c r="I76" s="24"/>
      <c r="J76" s="25"/>
      <c r="K76" s="25"/>
      <c r="L76" s="25"/>
      <c r="M76" s="25"/>
      <c r="N76" s="25"/>
      <c r="O76" s="25"/>
      <c r="P76" s="25"/>
      <c r="Q76" s="25"/>
    </row>
    <row r="77" spans="2:17" x14ac:dyDescent="0.3">
      <c r="B77" s="24"/>
      <c r="C77" s="24"/>
      <c r="D77" s="62"/>
      <c r="E77" s="24"/>
      <c r="F77" s="24"/>
      <c r="G77" s="62"/>
      <c r="H77" s="24"/>
      <c r="I77" s="24"/>
      <c r="J77" s="25"/>
      <c r="K77" s="25"/>
      <c r="L77" s="25"/>
      <c r="M77" s="25"/>
      <c r="N77" s="25"/>
      <c r="O77" s="25"/>
      <c r="P77" s="25"/>
      <c r="Q77" s="25"/>
    </row>
    <row r="78" spans="2:17" x14ac:dyDescent="0.3">
      <c r="B78" s="24"/>
      <c r="C78" s="24"/>
      <c r="D78" s="62"/>
      <c r="E78" s="24"/>
      <c r="F78" s="24"/>
      <c r="G78" s="62"/>
      <c r="H78" s="24"/>
      <c r="I78" s="24"/>
      <c r="J78" s="25"/>
      <c r="K78" s="25"/>
      <c r="L78" s="25"/>
      <c r="M78" s="25"/>
      <c r="N78" s="25"/>
      <c r="O78" s="25"/>
      <c r="P78" s="25"/>
      <c r="Q78" s="25"/>
    </row>
    <row r="79" spans="2:17" x14ac:dyDescent="0.3">
      <c r="B79" s="24"/>
      <c r="C79" s="24"/>
      <c r="D79" s="62"/>
      <c r="E79" s="24"/>
      <c r="F79" s="24"/>
      <c r="G79" s="62"/>
      <c r="H79" s="24"/>
      <c r="I79" s="24"/>
      <c r="J79" s="25"/>
      <c r="K79" s="25"/>
      <c r="L79" s="25"/>
      <c r="M79" s="25"/>
      <c r="N79" s="25"/>
      <c r="O79" s="25"/>
      <c r="P79" s="25"/>
      <c r="Q79" s="25"/>
    </row>
    <row r="80" spans="2:17" x14ac:dyDescent="0.3">
      <c r="B80" s="24"/>
      <c r="C80" s="24"/>
      <c r="D80" s="62"/>
      <c r="E80" s="24"/>
      <c r="F80" s="24"/>
      <c r="G80" s="62"/>
      <c r="H80" s="24"/>
      <c r="I80" s="24"/>
      <c r="J80" s="25"/>
      <c r="K80" s="25"/>
      <c r="L80" s="25"/>
      <c r="M80" s="25"/>
      <c r="N80" s="25"/>
      <c r="O80" s="25"/>
      <c r="P80" s="25"/>
      <c r="Q80" s="25"/>
    </row>
    <row r="81" spans="2:17" x14ac:dyDescent="0.3">
      <c r="B81" s="24"/>
      <c r="C81" s="24"/>
      <c r="D81" s="62"/>
      <c r="E81" s="24"/>
      <c r="F81" s="24"/>
      <c r="G81" s="62"/>
      <c r="H81" s="24"/>
      <c r="I81" s="24"/>
      <c r="J81" s="25"/>
      <c r="K81" s="25"/>
      <c r="L81" s="25"/>
      <c r="M81" s="25"/>
      <c r="N81" s="25"/>
      <c r="O81" s="25"/>
      <c r="P81" s="25"/>
      <c r="Q81" s="25"/>
    </row>
    <row r="82" spans="2:17" x14ac:dyDescent="0.3">
      <c r="B82" s="24"/>
      <c r="C82" s="24"/>
      <c r="D82" s="62"/>
      <c r="E82" s="24"/>
      <c r="F82" s="24"/>
      <c r="G82" s="62"/>
      <c r="H82" s="24"/>
      <c r="I82" s="24"/>
      <c r="J82" s="25"/>
      <c r="K82" s="25"/>
      <c r="L82" s="25"/>
      <c r="M82" s="25"/>
      <c r="N82" s="25"/>
      <c r="O82" s="25"/>
      <c r="P82" s="25"/>
      <c r="Q82" s="25"/>
    </row>
    <row r="83" spans="2:17" x14ac:dyDescent="0.3">
      <c r="B83" s="24"/>
      <c r="C83" s="24"/>
      <c r="D83" s="62"/>
      <c r="E83" s="24"/>
      <c r="F83" s="24"/>
      <c r="G83" s="62"/>
      <c r="H83" s="24"/>
      <c r="I83" s="24"/>
      <c r="J83" s="25"/>
      <c r="K83" s="25"/>
      <c r="L83" s="25"/>
      <c r="M83" s="25"/>
      <c r="N83" s="25"/>
      <c r="O83" s="25"/>
      <c r="P83" s="25"/>
      <c r="Q83" s="25"/>
    </row>
    <row r="84" spans="2:17" x14ac:dyDescent="0.3">
      <c r="B84" s="24"/>
      <c r="C84" s="24"/>
      <c r="D84" s="62"/>
      <c r="E84" s="24"/>
      <c r="F84" s="24"/>
      <c r="G84" s="62"/>
      <c r="H84" s="24"/>
      <c r="I84" s="24"/>
      <c r="J84" s="25"/>
      <c r="K84" s="25"/>
      <c r="L84" s="25"/>
      <c r="M84" s="25"/>
      <c r="N84" s="25"/>
      <c r="O84" s="25"/>
      <c r="P84" s="25"/>
      <c r="Q84" s="25"/>
    </row>
    <row r="85" spans="2:17" x14ac:dyDescent="0.3">
      <c r="B85" s="24"/>
      <c r="C85" s="24"/>
      <c r="D85" s="62"/>
      <c r="E85" s="24"/>
      <c r="F85" s="24"/>
      <c r="G85" s="62"/>
      <c r="H85" s="24"/>
      <c r="I85" s="24"/>
      <c r="J85" s="25"/>
      <c r="K85" s="25"/>
      <c r="L85" s="25"/>
      <c r="M85" s="25"/>
      <c r="N85" s="25"/>
      <c r="O85" s="25"/>
      <c r="P85" s="25"/>
      <c r="Q85" s="25"/>
    </row>
    <row r="86" spans="2:17" x14ac:dyDescent="0.3">
      <c r="B86" s="24"/>
      <c r="C86" s="24"/>
      <c r="D86" s="62"/>
      <c r="E86" s="24"/>
      <c r="F86" s="24"/>
      <c r="G86" s="62"/>
      <c r="H86" s="24"/>
      <c r="I86" s="24"/>
      <c r="J86" s="25"/>
      <c r="K86" s="25"/>
      <c r="L86" s="25"/>
      <c r="M86" s="25"/>
      <c r="N86" s="25"/>
      <c r="O86" s="25"/>
      <c r="P86" s="25"/>
      <c r="Q86" s="25"/>
    </row>
    <row r="87" spans="2:17" x14ac:dyDescent="0.3">
      <c r="B87" s="24"/>
      <c r="C87" s="24"/>
      <c r="D87" s="62"/>
      <c r="E87" s="24"/>
      <c r="F87" s="24"/>
      <c r="G87" s="62"/>
      <c r="H87" s="24"/>
      <c r="I87" s="24"/>
      <c r="J87" s="25"/>
      <c r="K87" s="25"/>
      <c r="L87" s="25"/>
      <c r="M87" s="25"/>
      <c r="N87" s="25"/>
      <c r="O87" s="25"/>
      <c r="P87" s="25"/>
      <c r="Q87" s="25"/>
    </row>
    <row r="88" spans="2:17" x14ac:dyDescent="0.3">
      <c r="B88" s="24"/>
      <c r="C88" s="24"/>
      <c r="D88" s="62"/>
      <c r="E88" s="24"/>
      <c r="F88" s="24"/>
      <c r="G88" s="62"/>
      <c r="H88" s="24"/>
      <c r="I88" s="24"/>
      <c r="J88" s="25"/>
      <c r="K88" s="25"/>
      <c r="L88" s="25"/>
      <c r="M88" s="25"/>
      <c r="N88" s="25"/>
      <c r="O88" s="25"/>
      <c r="P88" s="25"/>
      <c r="Q88" s="25"/>
    </row>
    <row r="89" spans="2:17" x14ac:dyDescent="0.3">
      <c r="B89" s="24"/>
      <c r="C89" s="24"/>
      <c r="D89" s="62"/>
      <c r="E89" s="24"/>
      <c r="F89" s="24"/>
      <c r="G89" s="62"/>
      <c r="H89" s="24"/>
      <c r="I89" s="24"/>
      <c r="J89" s="25"/>
      <c r="K89" s="25"/>
      <c r="L89" s="25"/>
      <c r="M89" s="25"/>
      <c r="N89" s="25"/>
      <c r="O89" s="25"/>
      <c r="P89" s="25"/>
      <c r="Q89" s="25"/>
    </row>
    <row r="90" spans="2:17" x14ac:dyDescent="0.3">
      <c r="B90" s="24"/>
      <c r="C90" s="24"/>
      <c r="D90" s="62"/>
      <c r="E90" s="24"/>
      <c r="F90" s="24"/>
      <c r="G90" s="62"/>
      <c r="H90" s="24"/>
      <c r="I90" s="24"/>
      <c r="J90" s="25"/>
      <c r="K90" s="25"/>
      <c r="L90" s="25"/>
      <c r="M90" s="25"/>
      <c r="N90" s="25"/>
      <c r="O90" s="25"/>
      <c r="P90" s="25"/>
      <c r="Q90" s="25"/>
    </row>
    <row r="91" spans="2:17" x14ac:dyDescent="0.3">
      <c r="B91" s="24"/>
      <c r="C91" s="24"/>
      <c r="D91" s="62"/>
      <c r="E91" s="24"/>
      <c r="F91" s="24"/>
      <c r="G91" s="62"/>
      <c r="H91" s="24"/>
      <c r="I91" s="24"/>
      <c r="J91" s="25"/>
      <c r="K91" s="25"/>
      <c r="L91" s="25"/>
      <c r="M91" s="25"/>
      <c r="N91" s="25"/>
      <c r="O91" s="25"/>
      <c r="P91" s="25"/>
      <c r="Q91" s="25"/>
    </row>
    <row r="92" spans="2:17" x14ac:dyDescent="0.3">
      <c r="B92" s="24"/>
      <c r="C92" s="24"/>
      <c r="D92" s="62"/>
      <c r="E92" s="24"/>
      <c r="F92" s="24"/>
      <c r="G92" s="62"/>
      <c r="H92" s="24"/>
      <c r="I92" s="24"/>
      <c r="J92" s="25"/>
      <c r="K92" s="25"/>
      <c r="L92" s="25"/>
      <c r="M92" s="25"/>
      <c r="N92" s="25"/>
      <c r="O92" s="25"/>
      <c r="P92" s="25"/>
      <c r="Q92" s="25"/>
    </row>
    <row r="93" spans="2:17" x14ac:dyDescent="0.3">
      <c r="B93" s="24"/>
      <c r="C93" s="24"/>
      <c r="D93" s="62"/>
      <c r="E93" s="24"/>
      <c r="F93" s="24"/>
      <c r="G93" s="62"/>
      <c r="H93" s="24"/>
      <c r="I93" s="24"/>
      <c r="J93" s="25"/>
      <c r="K93" s="25"/>
      <c r="L93" s="25"/>
      <c r="M93" s="25"/>
      <c r="N93" s="25"/>
      <c r="O93" s="25"/>
      <c r="P93" s="25"/>
      <c r="Q93" s="25"/>
    </row>
    <row r="94" spans="2:17" x14ac:dyDescent="0.3">
      <c r="B94" s="24"/>
      <c r="C94" s="24"/>
      <c r="D94" s="62"/>
      <c r="E94" s="24"/>
      <c r="F94" s="24"/>
      <c r="G94" s="62"/>
      <c r="H94" s="24"/>
      <c r="I94" s="24"/>
      <c r="J94" s="25"/>
      <c r="K94" s="25"/>
      <c r="L94" s="25"/>
      <c r="M94" s="25"/>
      <c r="N94" s="25"/>
      <c r="O94" s="25"/>
      <c r="P94" s="25"/>
      <c r="Q94" s="25"/>
    </row>
    <row r="95" spans="2:17" x14ac:dyDescent="0.3">
      <c r="B95" s="24"/>
      <c r="C95" s="24"/>
      <c r="D95" s="62"/>
      <c r="E95" s="24"/>
      <c r="F95" s="24"/>
      <c r="G95" s="62"/>
      <c r="H95" s="24"/>
      <c r="I95" s="24"/>
      <c r="J95" s="25"/>
      <c r="K95" s="25"/>
      <c r="L95" s="25"/>
      <c r="M95" s="25"/>
      <c r="N95" s="25"/>
      <c r="O95" s="25"/>
      <c r="P95" s="25"/>
      <c r="Q95" s="25"/>
    </row>
    <row r="96" spans="2:17" x14ac:dyDescent="0.3">
      <c r="B96" s="24"/>
      <c r="C96" s="24"/>
      <c r="D96" s="62"/>
      <c r="E96" s="24"/>
      <c r="F96" s="24"/>
      <c r="G96" s="62"/>
      <c r="H96" s="24"/>
      <c r="I96" s="24"/>
      <c r="J96" s="25"/>
      <c r="K96" s="25"/>
      <c r="L96" s="25"/>
      <c r="M96" s="25"/>
      <c r="N96" s="25"/>
      <c r="O96" s="25"/>
      <c r="P96" s="25"/>
      <c r="Q96" s="25"/>
    </row>
    <row r="97" spans="2:17" x14ac:dyDescent="0.3">
      <c r="B97" s="24"/>
      <c r="C97" s="24"/>
      <c r="D97" s="62"/>
      <c r="E97" s="24"/>
      <c r="F97" s="24"/>
      <c r="G97" s="62"/>
      <c r="H97" s="24"/>
      <c r="I97" s="24"/>
      <c r="J97" s="25"/>
      <c r="K97" s="25"/>
      <c r="L97" s="25"/>
      <c r="M97" s="25"/>
      <c r="N97" s="25"/>
      <c r="O97" s="25"/>
      <c r="P97" s="25"/>
      <c r="Q97" s="25"/>
    </row>
    <row r="98" spans="2:17" x14ac:dyDescent="0.3">
      <c r="B98" s="24"/>
      <c r="C98" s="24"/>
      <c r="D98" s="62"/>
      <c r="E98" s="24"/>
      <c r="F98" s="24"/>
      <c r="G98" s="62"/>
      <c r="H98" s="24"/>
      <c r="I98" s="24"/>
      <c r="J98" s="25"/>
      <c r="K98" s="25"/>
      <c r="L98" s="25"/>
      <c r="M98" s="25"/>
      <c r="N98" s="25"/>
      <c r="O98" s="25"/>
      <c r="P98" s="25"/>
      <c r="Q98" s="25"/>
    </row>
    <row r="99" spans="2:17" x14ac:dyDescent="0.3">
      <c r="B99" s="24"/>
      <c r="C99" s="24"/>
      <c r="D99" s="62"/>
      <c r="E99" s="24"/>
      <c r="F99" s="24"/>
      <c r="G99" s="62"/>
      <c r="H99" s="24"/>
      <c r="I99" s="24"/>
      <c r="J99" s="25"/>
      <c r="K99" s="25"/>
      <c r="L99" s="25"/>
      <c r="M99" s="25"/>
      <c r="N99" s="25"/>
      <c r="O99" s="25"/>
      <c r="P99" s="25"/>
      <c r="Q99" s="25"/>
    </row>
    <row r="100" spans="2:17" x14ac:dyDescent="0.3">
      <c r="B100" s="24"/>
      <c r="C100" s="24"/>
      <c r="D100" s="62"/>
      <c r="E100" s="24"/>
      <c r="F100" s="24"/>
      <c r="G100" s="62"/>
      <c r="H100" s="24"/>
      <c r="I100" s="24"/>
      <c r="J100" s="25"/>
      <c r="K100" s="25"/>
      <c r="L100" s="25"/>
      <c r="M100" s="25"/>
      <c r="N100" s="25"/>
      <c r="O100" s="25"/>
      <c r="P100" s="25"/>
      <c r="Q100" s="25"/>
    </row>
    <row r="101" spans="2:17" x14ac:dyDescent="0.3">
      <c r="B101" s="24"/>
      <c r="C101" s="24"/>
      <c r="D101" s="62"/>
      <c r="E101" s="24"/>
      <c r="F101" s="24"/>
      <c r="G101" s="62"/>
      <c r="H101" s="24"/>
      <c r="I101" s="24"/>
      <c r="J101" s="25"/>
      <c r="K101" s="25"/>
      <c r="L101" s="25"/>
      <c r="M101" s="25"/>
      <c r="N101" s="25"/>
      <c r="O101" s="25"/>
      <c r="P101" s="25"/>
      <c r="Q101" s="25"/>
    </row>
    <row r="102" spans="2:17" x14ac:dyDescent="0.3">
      <c r="B102" s="24"/>
      <c r="C102" s="24"/>
      <c r="D102" s="62"/>
      <c r="E102" s="24"/>
      <c r="F102" s="24"/>
      <c r="G102" s="62"/>
      <c r="H102" s="24"/>
      <c r="I102" s="24"/>
      <c r="J102" s="25"/>
      <c r="K102" s="25"/>
      <c r="L102" s="25"/>
      <c r="M102" s="25"/>
      <c r="N102" s="25"/>
      <c r="O102" s="25"/>
      <c r="P102" s="25"/>
      <c r="Q102" s="25"/>
    </row>
    <row r="103" spans="2:17" x14ac:dyDescent="0.3">
      <c r="B103" s="24"/>
      <c r="C103" s="24"/>
      <c r="D103" s="62"/>
      <c r="E103" s="24"/>
      <c r="F103" s="24"/>
      <c r="G103" s="62"/>
      <c r="H103" s="24"/>
      <c r="I103" s="24"/>
      <c r="J103" s="25"/>
      <c r="K103" s="25"/>
      <c r="L103" s="25"/>
      <c r="M103" s="25"/>
      <c r="N103" s="25"/>
      <c r="O103" s="25"/>
      <c r="P103" s="25"/>
      <c r="Q103" s="25"/>
    </row>
    <row r="104" spans="2:17" x14ac:dyDescent="0.3">
      <c r="B104" s="24"/>
      <c r="C104" s="24"/>
      <c r="D104" s="62"/>
      <c r="E104" s="24"/>
      <c r="F104" s="24"/>
      <c r="G104" s="62"/>
      <c r="H104" s="24"/>
      <c r="I104" s="24"/>
      <c r="J104" s="25"/>
      <c r="K104" s="25"/>
      <c r="L104" s="25"/>
      <c r="M104" s="25"/>
      <c r="N104" s="25"/>
      <c r="O104" s="25"/>
      <c r="P104" s="25"/>
      <c r="Q104" s="25"/>
    </row>
    <row r="105" spans="2:17" x14ac:dyDescent="0.3">
      <c r="B105" s="24"/>
      <c r="C105" s="24"/>
      <c r="D105" s="62"/>
      <c r="E105" s="24"/>
      <c r="F105" s="24"/>
      <c r="G105" s="62"/>
      <c r="H105" s="24"/>
      <c r="I105" s="24"/>
      <c r="J105" s="25"/>
      <c r="K105" s="25"/>
      <c r="L105" s="25"/>
      <c r="M105" s="25"/>
      <c r="N105" s="25"/>
      <c r="O105" s="25"/>
      <c r="P105" s="25"/>
      <c r="Q105" s="25"/>
    </row>
    <row r="106" spans="2:17" x14ac:dyDescent="0.3">
      <c r="B106" s="24"/>
      <c r="C106" s="24"/>
      <c r="D106" s="62"/>
      <c r="E106" s="24"/>
      <c r="F106" s="24"/>
      <c r="G106" s="62"/>
      <c r="H106" s="24"/>
      <c r="I106" s="24"/>
      <c r="J106" s="25"/>
      <c r="K106" s="25"/>
      <c r="L106" s="25"/>
      <c r="M106" s="25"/>
      <c r="N106" s="25"/>
      <c r="O106" s="25"/>
      <c r="P106" s="25"/>
      <c r="Q106" s="25"/>
    </row>
    <row r="107" spans="2:17" x14ac:dyDescent="0.3">
      <c r="B107" s="24"/>
      <c r="C107" s="24"/>
      <c r="D107" s="62"/>
      <c r="E107" s="24"/>
      <c r="F107" s="24"/>
      <c r="G107" s="62"/>
      <c r="H107" s="24"/>
      <c r="I107" s="24"/>
      <c r="J107" s="25"/>
      <c r="K107" s="25"/>
      <c r="L107" s="25"/>
      <c r="M107" s="25"/>
      <c r="N107" s="25"/>
      <c r="O107" s="25"/>
      <c r="P107" s="25"/>
      <c r="Q107" s="25"/>
    </row>
    <row r="108" spans="2:17" x14ac:dyDescent="0.3">
      <c r="B108" s="24"/>
      <c r="C108" s="24"/>
      <c r="D108" s="62"/>
      <c r="E108" s="24"/>
      <c r="F108" s="24"/>
      <c r="G108" s="62"/>
      <c r="H108" s="24"/>
      <c r="I108" s="24"/>
      <c r="J108" s="25"/>
      <c r="K108" s="25"/>
      <c r="L108" s="25"/>
      <c r="M108" s="25"/>
      <c r="N108" s="25"/>
      <c r="O108" s="25"/>
      <c r="P108" s="25"/>
      <c r="Q108" s="25"/>
    </row>
    <row r="109" spans="2:17" x14ac:dyDescent="0.3">
      <c r="B109" s="24"/>
      <c r="C109" s="24"/>
      <c r="D109" s="62"/>
      <c r="E109" s="24"/>
      <c r="F109" s="24"/>
      <c r="G109" s="62"/>
      <c r="H109" s="24"/>
      <c r="I109" s="24"/>
      <c r="J109" s="25"/>
      <c r="K109" s="25"/>
      <c r="L109" s="25"/>
      <c r="M109" s="25"/>
      <c r="N109" s="25"/>
      <c r="O109" s="25"/>
      <c r="P109" s="25"/>
      <c r="Q109" s="25"/>
    </row>
    <row r="110" spans="2:17" x14ac:dyDescent="0.3">
      <c r="B110" s="24"/>
      <c r="C110" s="24"/>
      <c r="D110" s="62"/>
      <c r="E110" s="24"/>
      <c r="F110" s="24"/>
      <c r="G110" s="62"/>
      <c r="H110" s="24"/>
      <c r="I110" s="24"/>
      <c r="J110" s="25"/>
      <c r="K110" s="25"/>
      <c r="L110" s="25"/>
      <c r="M110" s="25"/>
      <c r="N110" s="25"/>
      <c r="O110" s="25"/>
      <c r="P110" s="25"/>
      <c r="Q110" s="25"/>
    </row>
    <row r="111" spans="2:17" x14ac:dyDescent="0.3">
      <c r="B111" s="24"/>
      <c r="C111" s="24"/>
      <c r="D111" s="62"/>
      <c r="E111" s="24"/>
      <c r="F111" s="24"/>
      <c r="G111" s="62"/>
      <c r="H111" s="24"/>
      <c r="I111" s="24"/>
      <c r="J111" s="25"/>
      <c r="K111" s="25"/>
      <c r="L111" s="25"/>
      <c r="M111" s="25"/>
      <c r="N111" s="25"/>
      <c r="O111" s="25"/>
      <c r="P111" s="25"/>
      <c r="Q111" s="25"/>
    </row>
    <row r="112" spans="2:17" x14ac:dyDescent="0.3">
      <c r="B112" s="24"/>
      <c r="C112" s="24"/>
      <c r="D112" s="62"/>
      <c r="E112" s="24"/>
      <c r="F112" s="24"/>
      <c r="G112" s="62"/>
      <c r="H112" s="24"/>
      <c r="I112" s="24"/>
      <c r="J112" s="25"/>
      <c r="K112" s="25"/>
      <c r="L112" s="25"/>
      <c r="M112" s="25"/>
      <c r="N112" s="25"/>
      <c r="O112" s="25"/>
      <c r="P112" s="25"/>
      <c r="Q112" s="25"/>
    </row>
    <row r="113" spans="2:17" x14ac:dyDescent="0.3">
      <c r="B113" s="24"/>
      <c r="C113" s="24"/>
      <c r="D113" s="62"/>
      <c r="E113" s="24"/>
      <c r="F113" s="24"/>
      <c r="G113" s="62"/>
      <c r="H113" s="24"/>
      <c r="I113" s="24"/>
      <c r="J113" s="25"/>
      <c r="K113" s="25"/>
      <c r="L113" s="25"/>
      <c r="M113" s="25"/>
      <c r="N113" s="25"/>
      <c r="O113" s="25"/>
      <c r="P113" s="25"/>
      <c r="Q113" s="25"/>
    </row>
    <row r="114" spans="2:17" x14ac:dyDescent="0.3">
      <c r="B114" s="24"/>
      <c r="C114" s="24"/>
      <c r="D114" s="62"/>
      <c r="E114" s="24"/>
      <c r="F114" s="24"/>
      <c r="G114" s="62"/>
      <c r="H114" s="24"/>
      <c r="I114" s="24"/>
      <c r="J114" s="25"/>
      <c r="K114" s="25"/>
      <c r="L114" s="25"/>
      <c r="M114" s="25"/>
      <c r="N114" s="25"/>
      <c r="O114" s="25"/>
      <c r="P114" s="25"/>
      <c r="Q114" s="25"/>
    </row>
    <row r="115" spans="2:17" x14ac:dyDescent="0.3">
      <c r="B115" s="24"/>
      <c r="C115" s="24"/>
      <c r="D115" s="62"/>
      <c r="E115" s="24"/>
      <c r="F115" s="24"/>
      <c r="G115" s="62"/>
      <c r="H115" s="24"/>
      <c r="I115" s="24"/>
      <c r="J115" s="25"/>
      <c r="K115" s="25"/>
      <c r="L115" s="25"/>
      <c r="M115" s="25"/>
      <c r="N115" s="25"/>
      <c r="O115" s="25"/>
      <c r="P115" s="25"/>
      <c r="Q115" s="25"/>
    </row>
    <row r="116" spans="2:17" x14ac:dyDescent="0.3">
      <c r="B116" s="24"/>
      <c r="C116" s="24"/>
      <c r="D116" s="62"/>
      <c r="E116" s="24"/>
      <c r="F116" s="24"/>
      <c r="G116" s="62"/>
      <c r="H116" s="24"/>
      <c r="I116" s="24"/>
      <c r="J116" s="25"/>
      <c r="K116" s="25"/>
      <c r="L116" s="25"/>
      <c r="M116" s="25"/>
      <c r="N116" s="25"/>
      <c r="O116" s="25"/>
      <c r="P116" s="25"/>
      <c r="Q116" s="25"/>
    </row>
    <row r="117" spans="2:17" x14ac:dyDescent="0.3">
      <c r="B117" s="24"/>
      <c r="C117" s="24"/>
      <c r="D117" s="62"/>
      <c r="E117" s="24"/>
      <c r="F117" s="24"/>
      <c r="G117" s="62"/>
      <c r="H117" s="24"/>
      <c r="I117" s="24"/>
      <c r="J117" s="25"/>
      <c r="K117" s="25"/>
      <c r="L117" s="25"/>
      <c r="M117" s="25"/>
      <c r="N117" s="25"/>
      <c r="O117" s="25"/>
      <c r="P117" s="25"/>
      <c r="Q117" s="25"/>
    </row>
    <row r="118" spans="2:17" x14ac:dyDescent="0.3">
      <c r="B118" s="24"/>
      <c r="C118" s="24"/>
      <c r="D118" s="62"/>
      <c r="E118" s="24"/>
      <c r="F118" s="24"/>
      <c r="G118" s="62"/>
      <c r="H118" s="24"/>
      <c r="I118" s="24"/>
      <c r="J118" s="25"/>
      <c r="K118" s="25"/>
      <c r="L118" s="25"/>
      <c r="M118" s="25"/>
      <c r="N118" s="25"/>
      <c r="O118" s="25"/>
      <c r="P118" s="25"/>
      <c r="Q118" s="25"/>
    </row>
    <row r="119" spans="2:17" x14ac:dyDescent="0.3">
      <c r="B119" s="24"/>
      <c r="C119" s="24"/>
      <c r="D119" s="62"/>
      <c r="E119" s="24"/>
      <c r="F119" s="24"/>
      <c r="G119" s="62"/>
      <c r="H119" s="24"/>
      <c r="I119" s="24"/>
      <c r="J119" s="25"/>
      <c r="K119" s="25"/>
      <c r="L119" s="25"/>
      <c r="M119" s="25"/>
      <c r="N119" s="25"/>
      <c r="O119" s="25"/>
      <c r="P119" s="25"/>
      <c r="Q119" s="25"/>
    </row>
    <row r="120" spans="2:17" x14ac:dyDescent="0.3">
      <c r="B120" s="24"/>
      <c r="C120" s="24"/>
      <c r="D120" s="62"/>
      <c r="E120" s="24"/>
      <c r="F120" s="24"/>
      <c r="G120" s="62"/>
      <c r="H120" s="24"/>
      <c r="I120" s="24"/>
      <c r="J120" s="25"/>
      <c r="K120" s="25"/>
      <c r="L120" s="25"/>
      <c r="M120" s="25"/>
      <c r="N120" s="25"/>
      <c r="O120" s="25"/>
      <c r="P120" s="25"/>
      <c r="Q120" s="25"/>
    </row>
    <row r="121" spans="2:17" x14ac:dyDescent="0.3">
      <c r="B121" s="24"/>
      <c r="C121" s="24"/>
      <c r="D121" s="62"/>
      <c r="E121" s="24"/>
      <c r="F121" s="24"/>
      <c r="G121" s="62"/>
      <c r="H121" s="24"/>
      <c r="I121" s="24"/>
      <c r="J121" s="25"/>
      <c r="K121" s="25"/>
      <c r="L121" s="25"/>
      <c r="M121" s="25"/>
      <c r="N121" s="25"/>
      <c r="O121" s="25"/>
      <c r="P121" s="25"/>
      <c r="Q121" s="25"/>
    </row>
    <row r="122" spans="2:17" x14ac:dyDescent="0.3">
      <c r="B122" s="24"/>
      <c r="C122" s="24"/>
      <c r="D122" s="62"/>
      <c r="E122" s="24"/>
      <c r="F122" s="24"/>
      <c r="G122" s="62"/>
      <c r="H122" s="24"/>
      <c r="I122" s="24"/>
      <c r="J122" s="25"/>
      <c r="K122" s="25"/>
      <c r="L122" s="25"/>
      <c r="M122" s="25"/>
      <c r="N122" s="25"/>
      <c r="O122" s="25"/>
      <c r="P122" s="25"/>
      <c r="Q122" s="25"/>
    </row>
    <row r="123" spans="2:17" x14ac:dyDescent="0.3">
      <c r="B123" s="24"/>
      <c r="C123" s="24"/>
      <c r="D123" s="62"/>
      <c r="E123" s="24"/>
      <c r="F123" s="24"/>
      <c r="G123" s="62"/>
      <c r="H123" s="24"/>
      <c r="I123" s="24"/>
      <c r="J123" s="25"/>
      <c r="K123" s="25"/>
      <c r="L123" s="25"/>
      <c r="M123" s="25"/>
      <c r="N123" s="25"/>
      <c r="O123" s="25"/>
      <c r="P123" s="25"/>
      <c r="Q123" s="25"/>
    </row>
    <row r="124" spans="2:17" x14ac:dyDescent="0.3">
      <c r="B124" s="24"/>
      <c r="C124" s="24"/>
      <c r="D124" s="62"/>
      <c r="E124" s="24"/>
      <c r="F124" s="24"/>
      <c r="G124" s="62"/>
      <c r="H124" s="24"/>
      <c r="I124" s="24"/>
      <c r="J124" s="25"/>
      <c r="K124" s="25"/>
      <c r="L124" s="25"/>
      <c r="M124" s="25"/>
      <c r="N124" s="25"/>
      <c r="O124" s="25"/>
      <c r="P124" s="25"/>
      <c r="Q124" s="25"/>
    </row>
    <row r="125" spans="2:17" x14ac:dyDescent="0.3">
      <c r="B125" s="24"/>
      <c r="C125" s="24"/>
      <c r="D125" s="62"/>
      <c r="E125" s="24"/>
      <c r="F125" s="24"/>
      <c r="G125" s="62"/>
      <c r="H125" s="24"/>
      <c r="I125" s="24"/>
      <c r="J125" s="25"/>
      <c r="K125" s="25"/>
      <c r="L125" s="25"/>
      <c r="M125" s="25"/>
      <c r="N125" s="25"/>
      <c r="O125" s="25"/>
      <c r="P125" s="25"/>
      <c r="Q125" s="25"/>
    </row>
    <row r="126" spans="2:17" x14ac:dyDescent="0.3">
      <c r="B126" s="24"/>
      <c r="C126" s="24"/>
      <c r="D126" s="62"/>
      <c r="E126" s="24"/>
      <c r="F126" s="24"/>
      <c r="G126" s="62"/>
      <c r="H126" s="24"/>
      <c r="I126" s="24"/>
      <c r="J126" s="25"/>
      <c r="K126" s="25"/>
      <c r="L126" s="25"/>
      <c r="M126" s="25"/>
      <c r="N126" s="25"/>
      <c r="O126" s="25"/>
      <c r="P126" s="25"/>
      <c r="Q126" s="25"/>
    </row>
    <row r="127" spans="2:17" x14ac:dyDescent="0.3">
      <c r="B127" s="24"/>
      <c r="C127" s="24"/>
      <c r="D127" s="62"/>
      <c r="E127" s="24"/>
      <c r="F127" s="24"/>
      <c r="G127" s="62"/>
      <c r="H127" s="24"/>
      <c r="I127" s="24"/>
      <c r="J127" s="25"/>
      <c r="K127" s="25"/>
      <c r="L127" s="25"/>
      <c r="M127" s="25"/>
      <c r="N127" s="25"/>
      <c r="O127" s="25"/>
      <c r="P127" s="25"/>
      <c r="Q127" s="25"/>
    </row>
    <row r="128" spans="2:17" x14ac:dyDescent="0.3">
      <c r="B128" s="24"/>
      <c r="C128" s="24"/>
      <c r="D128" s="62"/>
      <c r="E128" s="24"/>
      <c r="F128" s="24"/>
      <c r="G128" s="62"/>
      <c r="H128" s="24"/>
      <c r="I128" s="24"/>
      <c r="J128" s="25"/>
      <c r="K128" s="25"/>
      <c r="L128" s="25"/>
      <c r="M128" s="25"/>
      <c r="N128" s="25"/>
      <c r="O128" s="25"/>
      <c r="P128" s="25"/>
      <c r="Q128" s="25"/>
    </row>
    <row r="129" spans="2:17" x14ac:dyDescent="0.3">
      <c r="B129" s="24"/>
      <c r="C129" s="24"/>
      <c r="D129" s="62"/>
      <c r="E129" s="24"/>
      <c r="F129" s="24"/>
      <c r="G129" s="62"/>
      <c r="H129" s="24"/>
      <c r="I129" s="24"/>
      <c r="J129" s="25"/>
      <c r="K129" s="25"/>
      <c r="L129" s="25"/>
      <c r="M129" s="25"/>
      <c r="N129" s="25"/>
      <c r="O129" s="25"/>
      <c r="P129" s="25"/>
      <c r="Q129" s="25"/>
    </row>
    <row r="130" spans="2:17" x14ac:dyDescent="0.3">
      <c r="B130" s="24"/>
      <c r="C130" s="24"/>
      <c r="D130" s="62"/>
      <c r="E130" s="24"/>
      <c r="F130" s="24"/>
      <c r="G130" s="62"/>
      <c r="H130" s="24"/>
      <c r="I130" s="24"/>
      <c r="J130" s="25"/>
      <c r="K130" s="25"/>
      <c r="L130" s="25"/>
      <c r="M130" s="25"/>
      <c r="N130" s="25"/>
      <c r="O130" s="25"/>
      <c r="P130" s="25"/>
      <c r="Q130" s="25"/>
    </row>
    <row r="131" spans="2:17" x14ac:dyDescent="0.3">
      <c r="B131" s="24"/>
      <c r="C131" s="24"/>
      <c r="D131" s="62"/>
      <c r="E131" s="24"/>
      <c r="F131" s="24"/>
      <c r="G131" s="62"/>
      <c r="H131" s="24"/>
      <c r="I131" s="24"/>
      <c r="J131" s="25"/>
      <c r="K131" s="25"/>
      <c r="L131" s="25"/>
      <c r="M131" s="25"/>
      <c r="N131" s="25"/>
      <c r="O131" s="25"/>
      <c r="P131" s="25"/>
      <c r="Q131" s="25"/>
    </row>
    <row r="132" spans="2:17" x14ac:dyDescent="0.3">
      <c r="B132" s="24"/>
      <c r="C132" s="24"/>
      <c r="D132" s="62"/>
      <c r="E132" s="24"/>
      <c r="F132" s="24"/>
      <c r="G132" s="62"/>
      <c r="H132" s="24"/>
      <c r="I132" s="24"/>
      <c r="J132" s="25"/>
      <c r="K132" s="25"/>
      <c r="L132" s="25"/>
      <c r="M132" s="25"/>
      <c r="N132" s="25"/>
      <c r="O132" s="25"/>
      <c r="P132" s="25"/>
      <c r="Q132" s="25"/>
    </row>
    <row r="133" spans="2:17" x14ac:dyDescent="0.3">
      <c r="B133" s="24"/>
      <c r="C133" s="24"/>
      <c r="D133" s="62"/>
      <c r="E133" s="24"/>
      <c r="F133" s="24"/>
      <c r="G133" s="62"/>
      <c r="H133" s="24"/>
      <c r="I133" s="24"/>
      <c r="J133" s="25"/>
      <c r="K133" s="25"/>
      <c r="L133" s="25"/>
      <c r="M133" s="25"/>
      <c r="N133" s="25"/>
      <c r="O133" s="25"/>
      <c r="P133" s="25"/>
      <c r="Q133" s="25"/>
    </row>
    <row r="134" spans="2:17" x14ac:dyDescent="0.3">
      <c r="B134" s="24"/>
      <c r="C134" s="24"/>
      <c r="D134" s="62"/>
      <c r="E134" s="24"/>
      <c r="F134" s="24"/>
      <c r="G134" s="62"/>
      <c r="H134" s="24"/>
      <c r="I134" s="24"/>
      <c r="J134" s="25"/>
      <c r="K134" s="25"/>
      <c r="L134" s="25"/>
      <c r="M134" s="25"/>
      <c r="N134" s="25"/>
      <c r="O134" s="25"/>
      <c r="P134" s="25"/>
      <c r="Q134" s="25"/>
    </row>
    <row r="135" spans="2:17" x14ac:dyDescent="0.3">
      <c r="B135" s="24"/>
      <c r="C135" s="24"/>
      <c r="D135" s="62"/>
      <c r="E135" s="24"/>
      <c r="F135" s="24"/>
      <c r="G135" s="62"/>
      <c r="H135" s="24"/>
      <c r="I135" s="24"/>
      <c r="J135" s="25"/>
      <c r="K135" s="25"/>
      <c r="L135" s="25"/>
      <c r="M135" s="25"/>
      <c r="N135" s="25"/>
      <c r="O135" s="25"/>
      <c r="P135" s="25"/>
      <c r="Q135" s="25"/>
    </row>
    <row r="136" spans="2:17" x14ac:dyDescent="0.3">
      <c r="B136" s="24"/>
      <c r="C136" s="24"/>
      <c r="D136" s="62"/>
      <c r="E136" s="24"/>
      <c r="F136" s="24"/>
      <c r="G136" s="62"/>
      <c r="H136" s="24"/>
      <c r="I136" s="24"/>
      <c r="J136" s="25"/>
      <c r="K136" s="25"/>
      <c r="L136" s="25"/>
      <c r="M136" s="25"/>
      <c r="N136" s="25"/>
      <c r="O136" s="25"/>
      <c r="P136" s="25"/>
      <c r="Q136" s="25"/>
    </row>
    <row r="137" spans="2:17" x14ac:dyDescent="0.3">
      <c r="B137" s="24"/>
      <c r="C137" s="24"/>
      <c r="D137" s="62"/>
      <c r="E137" s="24"/>
      <c r="F137" s="24"/>
      <c r="G137" s="62"/>
      <c r="H137" s="24"/>
      <c r="I137" s="24"/>
      <c r="J137" s="25"/>
      <c r="K137" s="25"/>
      <c r="L137" s="25"/>
      <c r="M137" s="25"/>
      <c r="N137" s="25"/>
      <c r="O137" s="25"/>
      <c r="P137" s="25"/>
      <c r="Q137" s="25"/>
    </row>
    <row r="138" spans="2:17" x14ac:dyDescent="0.3">
      <c r="B138" s="24"/>
      <c r="C138" s="24"/>
      <c r="D138" s="62"/>
      <c r="E138" s="24"/>
      <c r="F138" s="24"/>
      <c r="G138" s="62"/>
      <c r="H138" s="24"/>
      <c r="I138" s="24"/>
      <c r="J138" s="25"/>
      <c r="K138" s="25"/>
      <c r="L138" s="25"/>
      <c r="M138" s="25"/>
      <c r="N138" s="25"/>
      <c r="O138" s="25"/>
      <c r="P138" s="25"/>
      <c r="Q138" s="25"/>
    </row>
    <row r="139" spans="2:17" x14ac:dyDescent="0.3">
      <c r="B139" s="24"/>
      <c r="C139" s="24"/>
      <c r="D139" s="62"/>
      <c r="E139" s="24"/>
      <c r="F139" s="24"/>
      <c r="G139" s="62"/>
      <c r="H139" s="24"/>
      <c r="I139" s="24"/>
      <c r="J139" s="25"/>
      <c r="K139" s="25"/>
      <c r="L139" s="25"/>
      <c r="M139" s="25"/>
      <c r="N139" s="25"/>
      <c r="O139" s="25"/>
      <c r="P139" s="25"/>
      <c r="Q139" s="25"/>
    </row>
    <row r="140" spans="2:17" x14ac:dyDescent="0.3">
      <c r="B140" s="24"/>
      <c r="C140" s="24"/>
      <c r="D140" s="62"/>
      <c r="E140" s="24"/>
      <c r="F140" s="24"/>
      <c r="G140" s="62"/>
      <c r="H140" s="24"/>
      <c r="I140" s="24"/>
      <c r="J140" s="25"/>
      <c r="K140" s="25"/>
      <c r="L140" s="25"/>
      <c r="M140" s="25"/>
      <c r="N140" s="25"/>
      <c r="O140" s="25"/>
      <c r="P140" s="25"/>
      <c r="Q140" s="25"/>
    </row>
    <row r="141" spans="2:17" x14ac:dyDescent="0.3">
      <c r="B141" s="24"/>
      <c r="C141" s="24"/>
      <c r="D141" s="62"/>
      <c r="E141" s="24"/>
      <c r="F141" s="24"/>
      <c r="G141" s="62"/>
      <c r="H141" s="24"/>
      <c r="I141" s="24"/>
      <c r="J141" s="25"/>
      <c r="K141" s="25"/>
      <c r="L141" s="25"/>
      <c r="M141" s="25"/>
      <c r="N141" s="25"/>
      <c r="O141" s="25"/>
      <c r="P141" s="25"/>
      <c r="Q141" s="25"/>
    </row>
    <row r="142" spans="2:17" x14ac:dyDescent="0.3">
      <c r="B142" s="24"/>
      <c r="C142" s="24"/>
      <c r="D142" s="62"/>
      <c r="E142" s="24"/>
      <c r="F142" s="24"/>
      <c r="G142" s="62"/>
      <c r="H142" s="24"/>
      <c r="I142" s="24"/>
      <c r="J142" s="25"/>
      <c r="K142" s="25"/>
      <c r="L142" s="25"/>
      <c r="M142" s="25"/>
      <c r="N142" s="25"/>
      <c r="O142" s="25"/>
      <c r="P142" s="25"/>
      <c r="Q142" s="25"/>
    </row>
    <row r="143" spans="2:17" x14ac:dyDescent="0.3">
      <c r="B143" s="24"/>
      <c r="C143" s="24"/>
      <c r="D143" s="62"/>
      <c r="E143" s="24"/>
      <c r="F143" s="24"/>
      <c r="G143" s="62"/>
      <c r="H143" s="24"/>
      <c r="I143" s="24"/>
      <c r="J143" s="25"/>
      <c r="K143" s="25"/>
      <c r="L143" s="25"/>
      <c r="M143" s="25"/>
      <c r="N143" s="25"/>
      <c r="O143" s="25"/>
      <c r="P143" s="25"/>
      <c r="Q143" s="25"/>
    </row>
    <row r="144" spans="2:17" x14ac:dyDescent="0.3">
      <c r="B144" s="24"/>
      <c r="C144" s="24"/>
      <c r="D144" s="62"/>
      <c r="E144" s="24"/>
      <c r="F144" s="24"/>
      <c r="G144" s="62"/>
      <c r="H144" s="24"/>
      <c r="I144" s="24"/>
      <c r="J144" s="25"/>
      <c r="K144" s="25"/>
      <c r="L144" s="25"/>
      <c r="M144" s="25"/>
      <c r="N144" s="25"/>
      <c r="O144" s="25"/>
      <c r="P144" s="25"/>
      <c r="Q144" s="25"/>
    </row>
    <row r="145" spans="2:17" x14ac:dyDescent="0.3">
      <c r="B145" s="24"/>
      <c r="C145" s="24"/>
      <c r="D145" s="62"/>
      <c r="E145" s="24"/>
      <c r="F145" s="24"/>
      <c r="G145" s="62"/>
      <c r="H145" s="24"/>
      <c r="I145" s="24"/>
      <c r="J145" s="25"/>
      <c r="K145" s="25"/>
      <c r="L145" s="25"/>
      <c r="M145" s="25"/>
      <c r="N145" s="25"/>
      <c r="O145" s="25"/>
      <c r="P145" s="25"/>
      <c r="Q145" s="25"/>
    </row>
    <row r="146" spans="2:17" x14ac:dyDescent="0.3">
      <c r="B146" s="24"/>
      <c r="C146" s="24"/>
      <c r="D146" s="62"/>
      <c r="E146" s="24"/>
      <c r="F146" s="24"/>
      <c r="G146" s="62"/>
      <c r="H146" s="24"/>
      <c r="I146" s="24"/>
      <c r="J146" s="25"/>
      <c r="K146" s="25"/>
      <c r="L146" s="25"/>
      <c r="M146" s="25"/>
      <c r="N146" s="25"/>
      <c r="O146" s="25"/>
      <c r="P146" s="25"/>
      <c r="Q146" s="25"/>
    </row>
    <row r="147" spans="2:17" x14ac:dyDescent="0.3">
      <c r="B147" s="24"/>
      <c r="C147" s="24"/>
      <c r="D147" s="62"/>
      <c r="E147" s="24"/>
      <c r="F147" s="24"/>
      <c r="G147" s="62"/>
      <c r="H147" s="24"/>
      <c r="I147" s="24"/>
      <c r="J147" s="25"/>
      <c r="K147" s="25"/>
      <c r="L147" s="25"/>
      <c r="M147" s="25"/>
      <c r="N147" s="25"/>
      <c r="O147" s="25"/>
      <c r="P147" s="25"/>
      <c r="Q147" s="25"/>
    </row>
    <row r="148" spans="2:17" x14ac:dyDescent="0.3">
      <c r="B148" s="24"/>
      <c r="C148" s="24"/>
      <c r="D148" s="62"/>
      <c r="E148" s="24"/>
      <c r="F148" s="24"/>
      <c r="G148" s="62"/>
      <c r="H148" s="24"/>
      <c r="I148" s="24"/>
      <c r="J148" s="25"/>
      <c r="K148" s="25"/>
      <c r="L148" s="25"/>
      <c r="M148" s="25"/>
      <c r="N148" s="25"/>
      <c r="O148" s="25"/>
      <c r="P148" s="25"/>
      <c r="Q148" s="25"/>
    </row>
    <row r="149" spans="2:17" x14ac:dyDescent="0.3">
      <c r="B149" s="24"/>
      <c r="C149" s="24"/>
      <c r="D149" s="62"/>
      <c r="E149" s="24"/>
      <c r="F149" s="24"/>
      <c r="G149" s="62"/>
      <c r="H149" s="24"/>
      <c r="I149" s="24"/>
      <c r="J149" s="25"/>
      <c r="K149" s="25"/>
      <c r="L149" s="25"/>
      <c r="M149" s="25"/>
      <c r="N149" s="25"/>
      <c r="O149" s="25"/>
      <c r="P149" s="25"/>
      <c r="Q149" s="25"/>
    </row>
    <row r="150" spans="2:17" x14ac:dyDescent="0.3">
      <c r="B150" s="24"/>
      <c r="C150" s="24"/>
      <c r="D150" s="62"/>
      <c r="E150" s="24"/>
      <c r="F150" s="24"/>
      <c r="G150" s="62"/>
      <c r="H150" s="24"/>
      <c r="I150" s="24"/>
      <c r="J150" s="25"/>
      <c r="K150" s="25"/>
      <c r="L150" s="25"/>
      <c r="M150" s="25"/>
      <c r="N150" s="25"/>
      <c r="O150" s="25"/>
      <c r="P150" s="25"/>
      <c r="Q150" s="25"/>
    </row>
    <row r="151" spans="2:17" x14ac:dyDescent="0.3">
      <c r="B151" s="24"/>
      <c r="C151" s="24"/>
      <c r="D151" s="62"/>
      <c r="E151" s="24"/>
      <c r="F151" s="24"/>
      <c r="G151" s="62"/>
      <c r="H151" s="24"/>
      <c r="I151" s="24"/>
      <c r="J151" s="25"/>
      <c r="K151" s="25"/>
      <c r="L151" s="25"/>
      <c r="M151" s="25"/>
      <c r="N151" s="25"/>
      <c r="O151" s="25"/>
      <c r="P151" s="25"/>
      <c r="Q151" s="25"/>
    </row>
    <row r="152" spans="2:17" x14ac:dyDescent="0.3">
      <c r="B152" s="24"/>
      <c r="C152" s="24"/>
      <c r="D152" s="62"/>
      <c r="E152" s="24"/>
      <c r="F152" s="24"/>
      <c r="G152" s="62"/>
      <c r="H152" s="24"/>
      <c r="I152" s="24"/>
      <c r="J152" s="25"/>
      <c r="K152" s="25"/>
      <c r="L152" s="25"/>
      <c r="M152" s="25"/>
      <c r="N152" s="25"/>
      <c r="O152" s="25"/>
      <c r="P152" s="25"/>
      <c r="Q152" s="25"/>
    </row>
    <row r="153" spans="2:17" x14ac:dyDescent="0.3">
      <c r="B153" s="24"/>
      <c r="C153" s="24"/>
      <c r="D153" s="62"/>
      <c r="E153" s="24"/>
      <c r="F153" s="24"/>
      <c r="G153" s="62"/>
      <c r="H153" s="24"/>
      <c r="I153" s="24"/>
      <c r="J153" s="25"/>
      <c r="K153" s="25"/>
      <c r="L153" s="25"/>
      <c r="M153" s="25"/>
      <c r="N153" s="25"/>
      <c r="O153" s="25"/>
      <c r="P153" s="25"/>
      <c r="Q153" s="25"/>
    </row>
    <row r="154" spans="2:17" x14ac:dyDescent="0.3">
      <c r="B154" s="24"/>
      <c r="C154" s="24"/>
      <c r="D154" s="62"/>
      <c r="E154" s="24"/>
      <c r="F154" s="24"/>
      <c r="G154" s="62"/>
      <c r="H154" s="24"/>
      <c r="I154" s="24"/>
      <c r="J154" s="25"/>
      <c r="K154" s="25"/>
      <c r="L154" s="25"/>
      <c r="M154" s="25"/>
      <c r="N154" s="25"/>
      <c r="O154" s="25"/>
      <c r="P154" s="25"/>
      <c r="Q154" s="25"/>
    </row>
    <row r="155" spans="2:17" x14ac:dyDescent="0.3">
      <c r="B155" s="24"/>
      <c r="C155" s="24"/>
      <c r="D155" s="62"/>
      <c r="E155" s="24"/>
      <c r="F155" s="24"/>
      <c r="G155" s="62"/>
      <c r="H155" s="24"/>
      <c r="I155" s="24"/>
      <c r="J155" s="25"/>
      <c r="K155" s="25"/>
      <c r="L155" s="25"/>
      <c r="M155" s="25"/>
      <c r="N155" s="25"/>
      <c r="O155" s="25"/>
      <c r="P155" s="25"/>
      <c r="Q155" s="25"/>
    </row>
    <row r="156" spans="2:17" x14ac:dyDescent="0.3">
      <c r="B156" s="24"/>
      <c r="C156" s="24"/>
      <c r="D156" s="62"/>
      <c r="E156" s="24"/>
      <c r="F156" s="24"/>
      <c r="G156" s="62"/>
      <c r="H156" s="24"/>
      <c r="I156" s="24"/>
      <c r="J156" s="25"/>
      <c r="K156" s="25"/>
      <c r="L156" s="25"/>
      <c r="M156" s="25"/>
      <c r="N156" s="25"/>
      <c r="O156" s="25"/>
      <c r="P156" s="25"/>
      <c r="Q156" s="25"/>
    </row>
    <row r="157" spans="2:17" x14ac:dyDescent="0.3">
      <c r="B157" s="24"/>
      <c r="C157" s="24"/>
      <c r="D157" s="62"/>
      <c r="E157" s="24"/>
      <c r="F157" s="24"/>
      <c r="G157" s="62"/>
      <c r="H157" s="24"/>
      <c r="I157" s="24"/>
      <c r="J157" s="25"/>
      <c r="K157" s="25"/>
      <c r="L157" s="25"/>
      <c r="M157" s="25"/>
      <c r="N157" s="25"/>
      <c r="O157" s="25"/>
      <c r="P157" s="25"/>
      <c r="Q157" s="25"/>
    </row>
    <row r="158" spans="2:17" x14ac:dyDescent="0.3">
      <c r="B158" s="24"/>
      <c r="C158" s="24"/>
      <c r="D158" s="62"/>
      <c r="E158" s="24"/>
      <c r="F158" s="24"/>
      <c r="G158" s="62"/>
      <c r="H158" s="24"/>
      <c r="I158" s="24"/>
      <c r="J158" s="25"/>
      <c r="K158" s="25"/>
      <c r="L158" s="25"/>
      <c r="M158" s="25"/>
      <c r="N158" s="25"/>
      <c r="O158" s="25"/>
      <c r="P158" s="25"/>
      <c r="Q158" s="25"/>
    </row>
    <row r="159" spans="2:17" x14ac:dyDescent="0.3">
      <c r="B159" s="24"/>
      <c r="C159" s="24"/>
      <c r="D159" s="62"/>
      <c r="E159" s="24"/>
      <c r="F159" s="24"/>
      <c r="G159" s="62"/>
      <c r="H159" s="24"/>
      <c r="I159" s="24"/>
      <c r="J159" s="25"/>
      <c r="K159" s="25"/>
      <c r="L159" s="25"/>
      <c r="M159" s="25"/>
      <c r="N159" s="25"/>
      <c r="O159" s="25"/>
      <c r="P159" s="25"/>
      <c r="Q159" s="25"/>
    </row>
    <row r="160" spans="2:17" x14ac:dyDescent="0.3">
      <c r="B160" s="24"/>
      <c r="C160" s="24"/>
      <c r="D160" s="62"/>
      <c r="E160" s="24"/>
      <c r="F160" s="24"/>
      <c r="G160" s="62"/>
      <c r="H160" s="24"/>
      <c r="I160" s="24"/>
      <c r="J160" s="25"/>
      <c r="K160" s="25"/>
      <c r="L160" s="25"/>
      <c r="M160" s="25"/>
      <c r="N160" s="25"/>
      <c r="O160" s="25"/>
      <c r="P160" s="25"/>
      <c r="Q160" s="25"/>
    </row>
    <row r="161" spans="2:17" x14ac:dyDescent="0.3">
      <c r="B161" s="24"/>
      <c r="C161" s="24"/>
      <c r="D161" s="62"/>
      <c r="E161" s="24"/>
      <c r="F161" s="24"/>
      <c r="G161" s="62"/>
      <c r="H161" s="24"/>
      <c r="I161" s="24"/>
      <c r="J161" s="25"/>
      <c r="K161" s="25"/>
      <c r="L161" s="25"/>
      <c r="M161" s="25"/>
      <c r="N161" s="25"/>
      <c r="O161" s="25"/>
      <c r="P161" s="25"/>
      <c r="Q161" s="25"/>
    </row>
    <row r="162" spans="2:17" x14ac:dyDescent="0.3">
      <c r="B162" s="24"/>
      <c r="C162" s="24"/>
      <c r="D162" s="62"/>
      <c r="E162" s="24"/>
      <c r="F162" s="24"/>
      <c r="G162" s="62"/>
      <c r="H162" s="24"/>
      <c r="I162" s="24"/>
      <c r="J162" s="25"/>
      <c r="K162" s="25"/>
      <c r="L162" s="25"/>
      <c r="M162" s="25"/>
      <c r="N162" s="25"/>
      <c r="O162" s="25"/>
      <c r="P162" s="25"/>
      <c r="Q162" s="25"/>
    </row>
    <row r="163" spans="2:17" x14ac:dyDescent="0.3">
      <c r="B163" s="24"/>
      <c r="C163" s="24"/>
      <c r="D163" s="62"/>
      <c r="E163" s="24"/>
      <c r="F163" s="24"/>
      <c r="G163" s="62"/>
      <c r="H163" s="24"/>
      <c r="I163" s="24"/>
      <c r="J163" s="25"/>
      <c r="K163" s="25"/>
      <c r="L163" s="25"/>
      <c r="M163" s="25"/>
      <c r="N163" s="25"/>
      <c r="O163" s="25"/>
      <c r="P163" s="25"/>
      <c r="Q163" s="25"/>
    </row>
    <row r="164" spans="2:17" x14ac:dyDescent="0.3">
      <c r="B164" s="24"/>
      <c r="C164" s="24"/>
      <c r="D164" s="62"/>
      <c r="E164" s="24"/>
      <c r="F164" s="24"/>
      <c r="G164" s="62"/>
      <c r="H164" s="24"/>
      <c r="I164" s="24"/>
      <c r="J164" s="25"/>
      <c r="K164" s="25"/>
      <c r="L164" s="25"/>
      <c r="M164" s="25"/>
      <c r="N164" s="25"/>
      <c r="O164" s="25"/>
      <c r="P164" s="25"/>
      <c r="Q164" s="25"/>
    </row>
    <row r="165" spans="2:17" x14ac:dyDescent="0.3">
      <c r="B165" s="24"/>
      <c r="C165" s="24"/>
      <c r="D165" s="62"/>
      <c r="E165" s="24"/>
      <c r="F165" s="24"/>
      <c r="G165" s="62"/>
      <c r="H165" s="24"/>
      <c r="I165" s="24"/>
      <c r="J165" s="25"/>
      <c r="K165" s="25"/>
      <c r="L165" s="25"/>
      <c r="M165" s="25"/>
      <c r="N165" s="25"/>
      <c r="O165" s="25"/>
      <c r="P165" s="25"/>
      <c r="Q165" s="25"/>
    </row>
    <row r="166" spans="2:17" x14ac:dyDescent="0.3">
      <c r="B166" s="24"/>
      <c r="C166" s="24"/>
      <c r="D166" s="62"/>
      <c r="E166" s="24"/>
      <c r="F166" s="24"/>
      <c r="G166" s="62"/>
      <c r="H166" s="24"/>
      <c r="I166" s="24"/>
      <c r="J166" s="25"/>
      <c r="K166" s="25"/>
      <c r="L166" s="25"/>
      <c r="M166" s="25"/>
      <c r="N166" s="25"/>
      <c r="O166" s="25"/>
      <c r="P166" s="25"/>
      <c r="Q166" s="25"/>
    </row>
    <row r="167" spans="2:17" x14ac:dyDescent="0.3">
      <c r="B167" s="24"/>
      <c r="C167" s="24"/>
      <c r="D167" s="62"/>
      <c r="E167" s="24"/>
      <c r="F167" s="24"/>
      <c r="G167" s="62"/>
      <c r="H167" s="24"/>
      <c r="I167" s="24"/>
      <c r="J167" s="25"/>
      <c r="K167" s="25"/>
      <c r="L167" s="25"/>
      <c r="M167" s="25"/>
      <c r="N167" s="25"/>
      <c r="O167" s="25"/>
      <c r="P167" s="25"/>
      <c r="Q167" s="25"/>
    </row>
    <row r="168" spans="2:17" x14ac:dyDescent="0.3">
      <c r="B168" s="24"/>
      <c r="C168" s="24"/>
      <c r="D168" s="62"/>
      <c r="E168" s="24"/>
      <c r="F168" s="24"/>
      <c r="G168" s="62"/>
      <c r="H168" s="24"/>
      <c r="I168" s="24"/>
      <c r="J168" s="25"/>
      <c r="K168" s="25"/>
      <c r="L168" s="25"/>
      <c r="M168" s="25"/>
      <c r="N168" s="25"/>
      <c r="O168" s="25"/>
      <c r="P168" s="25"/>
      <c r="Q168" s="25"/>
    </row>
    <row r="169" spans="2:17" x14ac:dyDescent="0.3">
      <c r="B169" s="24"/>
      <c r="C169" s="24"/>
      <c r="D169" s="62"/>
      <c r="E169" s="24"/>
      <c r="F169" s="24"/>
      <c r="G169" s="62"/>
      <c r="H169" s="24"/>
      <c r="I169" s="24"/>
      <c r="J169" s="25"/>
      <c r="K169" s="25"/>
      <c r="L169" s="25"/>
      <c r="M169" s="25"/>
      <c r="N169" s="25"/>
      <c r="O169" s="25"/>
      <c r="P169" s="25"/>
      <c r="Q169" s="25"/>
    </row>
    <row r="170" spans="2:17" x14ac:dyDescent="0.3">
      <c r="B170" s="24"/>
      <c r="C170" s="24"/>
      <c r="D170" s="62"/>
      <c r="E170" s="24"/>
      <c r="F170" s="24"/>
      <c r="G170" s="62"/>
      <c r="H170" s="24"/>
      <c r="I170" s="24"/>
      <c r="J170" s="25"/>
      <c r="K170" s="25"/>
      <c r="L170" s="25"/>
      <c r="M170" s="25"/>
      <c r="N170" s="25"/>
      <c r="O170" s="25"/>
      <c r="P170" s="25"/>
      <c r="Q170" s="25"/>
    </row>
    <row r="171" spans="2:17" x14ac:dyDescent="0.3">
      <c r="B171" s="24"/>
      <c r="C171" s="24"/>
      <c r="D171" s="62"/>
      <c r="E171" s="24"/>
      <c r="F171" s="24"/>
      <c r="G171" s="62"/>
      <c r="H171" s="24"/>
      <c r="I171" s="24"/>
      <c r="J171" s="25"/>
      <c r="K171" s="25"/>
      <c r="L171" s="25"/>
      <c r="M171" s="25"/>
      <c r="N171" s="25"/>
      <c r="O171" s="25"/>
      <c r="P171" s="25"/>
      <c r="Q171" s="25"/>
    </row>
    <row r="172" spans="2:17" x14ac:dyDescent="0.3">
      <c r="B172" s="24"/>
      <c r="C172" s="24"/>
      <c r="D172" s="62"/>
      <c r="E172" s="24"/>
      <c r="F172" s="24"/>
      <c r="G172" s="62"/>
      <c r="H172" s="24"/>
      <c r="I172" s="24"/>
      <c r="J172" s="25"/>
      <c r="K172" s="25"/>
      <c r="L172" s="25"/>
      <c r="M172" s="25"/>
      <c r="N172" s="25"/>
      <c r="O172" s="25"/>
      <c r="P172" s="25"/>
      <c r="Q172" s="25"/>
    </row>
    <row r="173" spans="2:17" x14ac:dyDescent="0.3">
      <c r="B173" s="24"/>
      <c r="C173" s="24"/>
      <c r="D173" s="62"/>
      <c r="E173" s="24"/>
      <c r="F173" s="24"/>
      <c r="G173" s="62"/>
      <c r="H173" s="24"/>
      <c r="I173" s="24"/>
      <c r="J173" s="25"/>
      <c r="K173" s="25"/>
      <c r="L173" s="25"/>
      <c r="M173" s="25"/>
      <c r="N173" s="25"/>
      <c r="O173" s="25"/>
      <c r="P173" s="25"/>
      <c r="Q173" s="25"/>
    </row>
    <row r="174" spans="2:17" x14ac:dyDescent="0.3">
      <c r="B174" s="24"/>
      <c r="C174" s="24"/>
      <c r="D174" s="62"/>
      <c r="E174" s="24"/>
      <c r="F174" s="24"/>
      <c r="G174" s="62"/>
      <c r="H174" s="24"/>
      <c r="I174" s="24"/>
      <c r="J174" s="25"/>
      <c r="K174" s="25"/>
      <c r="L174" s="25"/>
      <c r="M174" s="25"/>
      <c r="N174" s="25"/>
      <c r="O174" s="25"/>
      <c r="P174" s="25"/>
      <c r="Q174" s="25"/>
    </row>
    <row r="175" spans="2:17" x14ac:dyDescent="0.3">
      <c r="B175" s="24"/>
      <c r="C175" s="24"/>
      <c r="D175" s="62"/>
      <c r="E175" s="24"/>
      <c r="F175" s="24"/>
      <c r="G175" s="62"/>
      <c r="H175" s="24"/>
      <c r="I175" s="24"/>
      <c r="J175" s="25"/>
      <c r="K175" s="25"/>
      <c r="L175" s="25"/>
      <c r="M175" s="25"/>
      <c r="N175" s="25"/>
      <c r="O175" s="25"/>
      <c r="P175" s="25"/>
      <c r="Q175" s="25"/>
    </row>
    <row r="176" spans="2:17" x14ac:dyDescent="0.3">
      <c r="B176" s="24"/>
      <c r="C176" s="24"/>
      <c r="D176" s="62"/>
      <c r="E176" s="24"/>
      <c r="F176" s="24"/>
      <c r="G176" s="62"/>
      <c r="H176" s="24"/>
      <c r="I176" s="24"/>
      <c r="J176" s="25"/>
      <c r="K176" s="25"/>
      <c r="L176" s="25"/>
      <c r="M176" s="25"/>
      <c r="N176" s="25"/>
      <c r="O176" s="25"/>
      <c r="P176" s="25"/>
      <c r="Q176" s="25"/>
    </row>
    <row r="177" spans="2:17" x14ac:dyDescent="0.3">
      <c r="B177" s="24"/>
      <c r="C177" s="24"/>
      <c r="D177" s="62"/>
      <c r="E177" s="24"/>
      <c r="F177" s="24"/>
      <c r="G177" s="62"/>
      <c r="H177" s="24"/>
      <c r="I177" s="24"/>
      <c r="J177" s="25"/>
      <c r="K177" s="25"/>
      <c r="L177" s="25"/>
      <c r="M177" s="25"/>
      <c r="N177" s="25"/>
      <c r="O177" s="25"/>
      <c r="P177" s="25"/>
      <c r="Q177" s="25"/>
    </row>
    <row r="178" spans="2:17" x14ac:dyDescent="0.3">
      <c r="B178" s="24"/>
      <c r="C178" s="24"/>
      <c r="D178" s="62"/>
      <c r="E178" s="24"/>
      <c r="F178" s="24"/>
      <c r="G178" s="62"/>
      <c r="H178" s="24"/>
      <c r="I178" s="24"/>
      <c r="J178" s="25"/>
      <c r="K178" s="25"/>
      <c r="L178" s="25"/>
      <c r="M178" s="25"/>
      <c r="N178" s="25"/>
      <c r="O178" s="25"/>
      <c r="P178" s="25"/>
      <c r="Q178" s="25"/>
    </row>
    <row r="179" spans="2:17" x14ac:dyDescent="0.3">
      <c r="B179" s="24"/>
      <c r="C179" s="24"/>
      <c r="D179" s="62"/>
      <c r="E179" s="24"/>
      <c r="F179" s="24"/>
      <c r="G179" s="62"/>
      <c r="H179" s="24"/>
      <c r="I179" s="24"/>
      <c r="J179" s="25"/>
      <c r="K179" s="25"/>
      <c r="L179" s="25"/>
      <c r="M179" s="25"/>
      <c r="N179" s="25"/>
      <c r="O179" s="25"/>
      <c r="P179" s="25"/>
      <c r="Q179" s="25"/>
    </row>
    <row r="180" spans="2:17" x14ac:dyDescent="0.3">
      <c r="B180" s="24"/>
      <c r="C180" s="24"/>
      <c r="D180" s="62"/>
      <c r="E180" s="24"/>
      <c r="F180" s="24"/>
      <c r="G180" s="62"/>
      <c r="H180" s="24"/>
      <c r="I180" s="24"/>
      <c r="J180" s="25"/>
      <c r="K180" s="25"/>
      <c r="L180" s="25"/>
      <c r="M180" s="25"/>
      <c r="N180" s="25"/>
      <c r="O180" s="25"/>
      <c r="P180" s="25"/>
      <c r="Q180" s="25"/>
    </row>
    <row r="181" spans="2:17" x14ac:dyDescent="0.3">
      <c r="B181" s="24"/>
      <c r="C181" s="24"/>
      <c r="D181" s="62"/>
      <c r="E181" s="24"/>
      <c r="F181" s="24"/>
      <c r="G181" s="62"/>
      <c r="H181" s="24"/>
      <c r="I181" s="24"/>
      <c r="J181" s="25"/>
      <c r="K181" s="25"/>
      <c r="L181" s="25"/>
      <c r="M181" s="25"/>
      <c r="N181" s="25"/>
      <c r="O181" s="25"/>
      <c r="P181" s="25"/>
      <c r="Q181" s="25"/>
    </row>
    <row r="182" spans="2:17" x14ac:dyDescent="0.3">
      <c r="B182" s="24"/>
      <c r="C182" s="24"/>
      <c r="D182" s="62"/>
      <c r="E182" s="24"/>
      <c r="F182" s="24"/>
      <c r="G182" s="62"/>
      <c r="H182" s="24"/>
      <c r="I182" s="24"/>
      <c r="J182" s="25"/>
      <c r="K182" s="25"/>
      <c r="L182" s="25"/>
      <c r="M182" s="25"/>
      <c r="N182" s="25"/>
      <c r="O182" s="25"/>
      <c r="P182" s="25"/>
      <c r="Q182" s="25"/>
    </row>
    <row r="183" spans="2:17" x14ac:dyDescent="0.3">
      <c r="B183" s="24"/>
      <c r="C183" s="24"/>
      <c r="D183" s="62"/>
      <c r="E183" s="24"/>
      <c r="F183" s="24"/>
      <c r="G183" s="62"/>
      <c r="H183" s="24"/>
      <c r="I183" s="24"/>
      <c r="J183" s="25"/>
      <c r="K183" s="25"/>
      <c r="L183" s="25"/>
      <c r="M183" s="25"/>
      <c r="N183" s="25"/>
      <c r="O183" s="25"/>
      <c r="P183" s="25"/>
      <c r="Q183" s="25"/>
    </row>
    <row r="184" spans="2:17" x14ac:dyDescent="0.3">
      <c r="B184" s="24"/>
      <c r="C184" s="24"/>
      <c r="D184" s="62"/>
      <c r="E184" s="24"/>
      <c r="F184" s="24"/>
      <c r="G184" s="62"/>
      <c r="H184" s="24"/>
      <c r="I184" s="24"/>
      <c r="J184" s="25"/>
      <c r="K184" s="25"/>
      <c r="L184" s="25"/>
      <c r="M184" s="25"/>
      <c r="N184" s="25"/>
      <c r="O184" s="25"/>
      <c r="P184" s="25"/>
      <c r="Q184" s="25"/>
    </row>
    <row r="185" spans="2:17" x14ac:dyDescent="0.3">
      <c r="B185" s="24"/>
      <c r="C185" s="24"/>
      <c r="D185" s="62"/>
      <c r="E185" s="24"/>
      <c r="F185" s="24"/>
      <c r="G185" s="62"/>
      <c r="H185" s="24"/>
      <c r="I185" s="24"/>
      <c r="J185" s="25"/>
      <c r="K185" s="25"/>
      <c r="L185" s="25"/>
      <c r="M185" s="25"/>
      <c r="N185" s="25"/>
      <c r="O185" s="25"/>
      <c r="P185" s="25"/>
      <c r="Q185" s="25"/>
    </row>
    <row r="186" spans="2:17" x14ac:dyDescent="0.3">
      <c r="B186" s="24"/>
      <c r="C186" s="24"/>
      <c r="D186" s="62"/>
      <c r="E186" s="24"/>
      <c r="F186" s="24"/>
      <c r="G186" s="62"/>
      <c r="H186" s="24"/>
      <c r="I186" s="24"/>
      <c r="J186" s="25"/>
      <c r="K186" s="25"/>
      <c r="L186" s="25"/>
      <c r="M186" s="25"/>
      <c r="N186" s="25"/>
      <c r="O186" s="25"/>
      <c r="P186" s="25"/>
      <c r="Q186" s="25"/>
    </row>
    <row r="187" spans="2:17" x14ac:dyDescent="0.3">
      <c r="B187" s="24"/>
      <c r="C187" s="24"/>
      <c r="D187" s="62"/>
      <c r="E187" s="24"/>
      <c r="F187" s="24"/>
      <c r="G187" s="62"/>
      <c r="H187" s="24"/>
      <c r="I187" s="24"/>
      <c r="J187" s="25"/>
      <c r="K187" s="25"/>
      <c r="L187" s="25"/>
      <c r="M187" s="25"/>
      <c r="N187" s="25"/>
      <c r="O187" s="25"/>
      <c r="P187" s="25"/>
      <c r="Q187" s="25"/>
    </row>
    <row r="188" spans="2:17" x14ac:dyDescent="0.3">
      <c r="B188" s="24"/>
      <c r="C188" s="24"/>
      <c r="D188" s="62"/>
      <c r="E188" s="24"/>
      <c r="F188" s="24"/>
      <c r="G188" s="62"/>
      <c r="H188" s="24"/>
      <c r="I188" s="24"/>
      <c r="J188" s="25"/>
      <c r="K188" s="25"/>
      <c r="L188" s="25"/>
      <c r="M188" s="25"/>
      <c r="N188" s="25"/>
      <c r="O188" s="25"/>
      <c r="P188" s="25"/>
      <c r="Q188" s="25"/>
    </row>
    <row r="189" spans="2:17" x14ac:dyDescent="0.3">
      <c r="B189" s="24"/>
      <c r="C189" s="24"/>
      <c r="D189" s="62"/>
      <c r="E189" s="24"/>
      <c r="F189" s="24"/>
      <c r="G189" s="62"/>
      <c r="H189" s="24"/>
      <c r="I189" s="24"/>
      <c r="J189" s="25"/>
      <c r="K189" s="25"/>
      <c r="L189" s="25"/>
      <c r="M189" s="25"/>
      <c r="N189" s="25"/>
      <c r="O189" s="25"/>
      <c r="P189" s="25"/>
      <c r="Q189" s="25"/>
    </row>
    <row r="190" spans="2:17" x14ac:dyDescent="0.3">
      <c r="B190" s="24"/>
      <c r="C190" s="24"/>
      <c r="D190" s="62"/>
      <c r="E190" s="24"/>
      <c r="F190" s="24"/>
      <c r="G190" s="62"/>
      <c r="H190" s="24"/>
      <c r="I190" s="24"/>
      <c r="J190" s="25"/>
      <c r="K190" s="25"/>
      <c r="L190" s="25"/>
      <c r="M190" s="25"/>
      <c r="N190" s="25"/>
      <c r="O190" s="25"/>
      <c r="P190" s="25"/>
      <c r="Q190" s="25"/>
    </row>
    <row r="191" spans="2:17" x14ac:dyDescent="0.3">
      <c r="B191" s="24"/>
      <c r="C191" s="24"/>
      <c r="D191" s="62"/>
      <c r="E191" s="24"/>
      <c r="F191" s="24"/>
      <c r="G191" s="62"/>
      <c r="H191" s="24"/>
      <c r="I191" s="24"/>
      <c r="J191" s="25"/>
      <c r="K191" s="25"/>
      <c r="L191" s="25"/>
      <c r="M191" s="25"/>
      <c r="N191" s="25"/>
      <c r="O191" s="25"/>
      <c r="P191" s="25"/>
      <c r="Q191" s="25"/>
    </row>
    <row r="192" spans="2:17" x14ac:dyDescent="0.3">
      <c r="B192" s="24"/>
      <c r="C192" s="24"/>
      <c r="D192" s="62"/>
      <c r="E192" s="24"/>
      <c r="F192" s="24"/>
      <c r="G192" s="62"/>
      <c r="H192" s="24"/>
      <c r="I192" s="24"/>
      <c r="J192" s="25"/>
      <c r="K192" s="25"/>
      <c r="L192" s="25"/>
      <c r="M192" s="25"/>
      <c r="N192" s="25"/>
      <c r="O192" s="25"/>
      <c r="P192" s="25"/>
      <c r="Q192" s="25"/>
    </row>
    <row r="193" spans="2:17" x14ac:dyDescent="0.3">
      <c r="B193" s="24"/>
      <c r="C193" s="24"/>
      <c r="D193" s="62"/>
      <c r="E193" s="24"/>
      <c r="F193" s="24"/>
      <c r="G193" s="62"/>
      <c r="H193" s="24"/>
      <c r="I193" s="24"/>
      <c r="J193" s="25"/>
      <c r="K193" s="25"/>
      <c r="L193" s="25"/>
      <c r="M193" s="25"/>
      <c r="N193" s="25"/>
      <c r="O193" s="25"/>
      <c r="P193" s="25"/>
      <c r="Q193" s="25"/>
    </row>
    <row r="194" spans="2:17" x14ac:dyDescent="0.3">
      <c r="B194" s="24"/>
      <c r="C194" s="24"/>
      <c r="D194" s="62"/>
      <c r="E194" s="24"/>
      <c r="F194" s="24"/>
      <c r="G194" s="62"/>
      <c r="H194" s="24"/>
      <c r="I194" s="24"/>
      <c r="J194" s="25"/>
      <c r="K194" s="25"/>
      <c r="L194" s="25"/>
      <c r="M194" s="25"/>
      <c r="N194" s="25"/>
      <c r="O194" s="25"/>
      <c r="P194" s="25"/>
      <c r="Q194" s="25"/>
    </row>
    <row r="195" spans="2:17" x14ac:dyDescent="0.3">
      <c r="B195" s="24"/>
      <c r="C195" s="24"/>
      <c r="D195" s="62"/>
      <c r="E195" s="24"/>
      <c r="F195" s="24"/>
      <c r="G195" s="62"/>
      <c r="H195" s="24"/>
      <c r="I195" s="24"/>
      <c r="J195" s="25"/>
      <c r="K195" s="25"/>
      <c r="L195" s="25"/>
      <c r="M195" s="25"/>
      <c r="N195" s="25"/>
      <c r="O195" s="25"/>
      <c r="P195" s="25"/>
      <c r="Q195" s="25"/>
    </row>
    <row r="196" spans="2:17" x14ac:dyDescent="0.3">
      <c r="B196" s="24"/>
      <c r="C196" s="24"/>
      <c r="D196" s="62"/>
      <c r="E196" s="24"/>
      <c r="F196" s="24"/>
      <c r="G196" s="62"/>
      <c r="H196" s="24"/>
      <c r="I196" s="24"/>
      <c r="J196" s="25"/>
      <c r="K196" s="25"/>
      <c r="L196" s="25"/>
      <c r="M196" s="25"/>
      <c r="N196" s="25"/>
      <c r="O196" s="25"/>
      <c r="P196" s="25"/>
      <c r="Q196" s="25"/>
    </row>
    <row r="197" spans="2:17" x14ac:dyDescent="0.3">
      <c r="B197" s="24"/>
      <c r="C197" s="24"/>
      <c r="D197" s="62"/>
      <c r="E197" s="24"/>
      <c r="F197" s="24"/>
      <c r="G197" s="62"/>
      <c r="H197" s="24"/>
      <c r="I197" s="24"/>
      <c r="J197" s="25"/>
      <c r="K197" s="25"/>
      <c r="L197" s="25"/>
      <c r="M197" s="25"/>
      <c r="N197" s="25"/>
      <c r="O197" s="25"/>
      <c r="P197" s="25"/>
      <c r="Q197" s="25"/>
    </row>
    <row r="198" spans="2:17" x14ac:dyDescent="0.3">
      <c r="B198" s="24"/>
      <c r="C198" s="24"/>
      <c r="D198" s="62"/>
      <c r="E198" s="24"/>
      <c r="F198" s="24"/>
      <c r="G198" s="62"/>
      <c r="H198" s="24"/>
      <c r="I198" s="24"/>
      <c r="J198" s="25"/>
      <c r="K198" s="25"/>
      <c r="L198" s="25"/>
      <c r="M198" s="25"/>
      <c r="N198" s="25"/>
      <c r="O198" s="25"/>
      <c r="P198" s="25"/>
      <c r="Q198" s="25"/>
    </row>
    <row r="199" spans="2:17" x14ac:dyDescent="0.3">
      <c r="B199" s="24"/>
      <c r="C199" s="24"/>
      <c r="D199" s="62"/>
      <c r="E199" s="24"/>
      <c r="F199" s="24"/>
      <c r="G199" s="62"/>
      <c r="H199" s="24"/>
      <c r="I199" s="24"/>
      <c r="J199" s="25"/>
      <c r="K199" s="25"/>
      <c r="L199" s="25"/>
      <c r="M199" s="25"/>
      <c r="N199" s="25"/>
      <c r="O199" s="25"/>
      <c r="P199" s="25"/>
      <c r="Q199" s="25"/>
    </row>
    <row r="200" spans="2:17" x14ac:dyDescent="0.3">
      <c r="B200" s="24"/>
      <c r="C200" s="24"/>
      <c r="D200" s="62"/>
      <c r="E200" s="24"/>
      <c r="F200" s="24"/>
      <c r="G200" s="62"/>
      <c r="H200" s="24"/>
      <c r="I200" s="24"/>
      <c r="J200" s="25"/>
      <c r="K200" s="25"/>
      <c r="L200" s="25"/>
      <c r="M200" s="25"/>
      <c r="N200" s="25"/>
      <c r="O200" s="25"/>
      <c r="P200" s="25"/>
      <c r="Q200" s="25"/>
    </row>
    <row r="201" spans="2:17" x14ac:dyDescent="0.3">
      <c r="B201" s="24"/>
      <c r="C201" s="24"/>
      <c r="D201" s="62"/>
      <c r="E201" s="24"/>
      <c r="F201" s="24"/>
      <c r="G201" s="62"/>
      <c r="H201" s="24"/>
      <c r="I201" s="24"/>
      <c r="J201" s="25"/>
      <c r="K201" s="25"/>
      <c r="L201" s="25"/>
      <c r="M201" s="25"/>
      <c r="N201" s="25"/>
      <c r="O201" s="25"/>
      <c r="P201" s="25"/>
      <c r="Q201" s="25"/>
    </row>
    <row r="202" spans="2:17" x14ac:dyDescent="0.3">
      <c r="B202" s="24"/>
      <c r="C202" s="24"/>
      <c r="D202" s="62"/>
      <c r="E202" s="24"/>
      <c r="F202" s="24"/>
      <c r="G202" s="62"/>
      <c r="H202" s="24"/>
      <c r="I202" s="24"/>
      <c r="J202" s="25"/>
      <c r="K202" s="25"/>
      <c r="L202" s="25"/>
      <c r="M202" s="25"/>
      <c r="N202" s="25"/>
      <c r="O202" s="25"/>
      <c r="P202" s="25"/>
      <c r="Q202" s="25"/>
    </row>
    <row r="203" spans="2:17" x14ac:dyDescent="0.3">
      <c r="B203" s="24"/>
      <c r="C203" s="24"/>
      <c r="D203" s="62"/>
      <c r="E203" s="24"/>
      <c r="F203" s="24"/>
      <c r="G203" s="62"/>
      <c r="H203" s="24"/>
      <c r="I203" s="24"/>
      <c r="J203" s="25"/>
      <c r="K203" s="25"/>
      <c r="L203" s="25"/>
      <c r="M203" s="25"/>
      <c r="N203" s="25"/>
      <c r="O203" s="25"/>
      <c r="P203" s="25"/>
      <c r="Q203" s="25"/>
    </row>
    <row r="204" spans="2:17" x14ac:dyDescent="0.3">
      <c r="B204" s="24"/>
      <c r="C204" s="24"/>
      <c r="D204" s="62"/>
      <c r="E204" s="24"/>
      <c r="F204" s="24"/>
      <c r="G204" s="62"/>
      <c r="H204" s="24"/>
      <c r="I204" s="24"/>
      <c r="J204" s="25"/>
      <c r="K204" s="25"/>
      <c r="L204" s="25"/>
      <c r="M204" s="25"/>
      <c r="N204" s="25"/>
      <c r="O204" s="25"/>
      <c r="P204" s="25"/>
      <c r="Q204" s="25"/>
    </row>
    <row r="205" spans="2:17" x14ac:dyDescent="0.3">
      <c r="B205" s="24"/>
      <c r="C205" s="24"/>
      <c r="D205" s="62"/>
      <c r="E205" s="24"/>
      <c r="F205" s="24"/>
      <c r="G205" s="62"/>
      <c r="H205" s="24"/>
      <c r="I205" s="24"/>
      <c r="J205" s="25"/>
      <c r="K205" s="25"/>
      <c r="L205" s="25"/>
      <c r="M205" s="25"/>
      <c r="N205" s="25"/>
      <c r="O205" s="25"/>
      <c r="P205" s="25"/>
      <c r="Q205" s="25"/>
    </row>
    <row r="206" spans="2:17" x14ac:dyDescent="0.3">
      <c r="B206" s="24"/>
      <c r="C206" s="24"/>
      <c r="D206" s="62"/>
      <c r="E206" s="24"/>
      <c r="F206" s="24"/>
      <c r="G206" s="62"/>
      <c r="H206" s="24"/>
      <c r="I206" s="24"/>
      <c r="J206" s="25"/>
      <c r="K206" s="25"/>
      <c r="L206" s="25"/>
      <c r="M206" s="25"/>
      <c r="N206" s="25"/>
      <c r="O206" s="25"/>
      <c r="P206" s="25"/>
      <c r="Q206" s="25"/>
    </row>
    <row r="207" spans="2:17" x14ac:dyDescent="0.3">
      <c r="B207" s="24"/>
      <c r="C207" s="24"/>
      <c r="D207" s="62"/>
      <c r="E207" s="24"/>
      <c r="F207" s="24"/>
      <c r="G207" s="62"/>
      <c r="H207" s="24"/>
      <c r="I207" s="24"/>
      <c r="J207" s="25"/>
      <c r="K207" s="25"/>
      <c r="L207" s="25"/>
      <c r="M207" s="25"/>
      <c r="N207" s="25"/>
      <c r="O207" s="25"/>
      <c r="P207" s="25"/>
      <c r="Q207" s="25"/>
    </row>
    <row r="208" spans="2:17" x14ac:dyDescent="0.3">
      <c r="B208" s="24"/>
      <c r="C208" s="24"/>
      <c r="D208" s="62"/>
      <c r="E208" s="24"/>
      <c r="F208" s="24"/>
      <c r="G208" s="62"/>
      <c r="H208" s="24"/>
      <c r="I208" s="24"/>
      <c r="J208" s="25"/>
      <c r="K208" s="25"/>
      <c r="L208" s="25"/>
      <c r="M208" s="25"/>
      <c r="N208" s="25"/>
      <c r="O208" s="25"/>
      <c r="P208" s="25"/>
      <c r="Q208" s="25"/>
    </row>
    <row r="209" spans="2:17" x14ac:dyDescent="0.3">
      <c r="B209" s="24"/>
      <c r="C209" s="24"/>
      <c r="D209" s="62"/>
      <c r="E209" s="24"/>
      <c r="F209" s="24"/>
      <c r="G209" s="62"/>
      <c r="H209" s="24"/>
      <c r="I209" s="24"/>
      <c r="J209" s="25"/>
      <c r="K209" s="25"/>
      <c r="L209" s="25"/>
      <c r="M209" s="25"/>
      <c r="N209" s="25"/>
      <c r="O209" s="25"/>
      <c r="P209" s="25"/>
      <c r="Q209" s="25"/>
    </row>
    <row r="210" spans="2:17" x14ac:dyDescent="0.3">
      <c r="B210" s="24"/>
      <c r="C210" s="24"/>
      <c r="D210" s="62"/>
      <c r="E210" s="24"/>
      <c r="F210" s="24"/>
      <c r="G210" s="62"/>
      <c r="H210" s="24"/>
      <c r="I210" s="24"/>
      <c r="J210" s="25"/>
      <c r="K210" s="25"/>
      <c r="L210" s="25"/>
      <c r="M210" s="25"/>
      <c r="N210" s="25"/>
      <c r="O210" s="25"/>
      <c r="P210" s="25"/>
      <c r="Q210" s="25"/>
    </row>
    <row r="211" spans="2:17" x14ac:dyDescent="0.3">
      <c r="B211" s="24"/>
      <c r="C211" s="24"/>
      <c r="D211" s="62"/>
      <c r="E211" s="24"/>
      <c r="F211" s="24"/>
      <c r="G211" s="62"/>
      <c r="H211" s="24"/>
      <c r="I211" s="24"/>
      <c r="J211" s="25"/>
      <c r="K211" s="25"/>
      <c r="L211" s="25"/>
      <c r="M211" s="25"/>
      <c r="N211" s="25"/>
      <c r="O211" s="25"/>
      <c r="P211" s="25"/>
      <c r="Q211" s="25"/>
    </row>
    <row r="212" spans="2:17" x14ac:dyDescent="0.3">
      <c r="B212" s="24"/>
      <c r="C212" s="24"/>
      <c r="D212" s="62"/>
      <c r="E212" s="24"/>
      <c r="F212" s="24"/>
      <c r="G212" s="62"/>
      <c r="H212" s="24"/>
      <c r="I212" s="24"/>
      <c r="J212" s="25"/>
      <c r="K212" s="25"/>
      <c r="L212" s="25"/>
      <c r="M212" s="25"/>
      <c r="N212" s="25"/>
      <c r="O212" s="25"/>
      <c r="P212" s="25"/>
      <c r="Q212" s="25"/>
    </row>
    <row r="213" spans="2:17" x14ac:dyDescent="0.3">
      <c r="B213" s="24"/>
      <c r="C213" s="24"/>
      <c r="D213" s="62"/>
      <c r="E213" s="24"/>
      <c r="F213" s="24"/>
      <c r="G213" s="62"/>
      <c r="H213" s="24"/>
      <c r="I213" s="24"/>
      <c r="J213" s="25"/>
      <c r="K213" s="25"/>
      <c r="L213" s="25"/>
      <c r="M213" s="25"/>
      <c r="N213" s="25"/>
      <c r="O213" s="25"/>
      <c r="P213" s="25"/>
      <c r="Q213" s="25"/>
    </row>
    <row r="214" spans="2:17" x14ac:dyDescent="0.3">
      <c r="B214" s="24"/>
      <c r="C214" s="24"/>
      <c r="D214" s="62"/>
      <c r="E214" s="24"/>
      <c r="F214" s="24"/>
      <c r="G214" s="62"/>
      <c r="H214" s="24"/>
      <c r="I214" s="24"/>
      <c r="J214" s="25"/>
      <c r="K214" s="25"/>
      <c r="L214" s="25"/>
      <c r="M214" s="25"/>
      <c r="N214" s="25"/>
      <c r="O214" s="25"/>
      <c r="P214" s="25"/>
      <c r="Q214" s="25"/>
    </row>
    <row r="215" spans="2:17" x14ac:dyDescent="0.3">
      <c r="B215" s="24"/>
      <c r="C215" s="24"/>
      <c r="D215" s="62"/>
      <c r="E215" s="24"/>
      <c r="F215" s="24"/>
      <c r="G215" s="62"/>
      <c r="H215" s="24"/>
      <c r="I215" s="24"/>
      <c r="J215" s="25"/>
      <c r="K215" s="25"/>
      <c r="L215" s="25"/>
      <c r="M215" s="25"/>
      <c r="N215" s="25"/>
      <c r="O215" s="25"/>
      <c r="P215" s="25"/>
      <c r="Q215" s="25"/>
    </row>
    <row r="216" spans="2:17" x14ac:dyDescent="0.3">
      <c r="B216" s="24"/>
      <c r="C216" s="24"/>
      <c r="D216" s="62"/>
      <c r="E216" s="24"/>
      <c r="F216" s="24"/>
      <c r="G216" s="62"/>
      <c r="H216" s="24"/>
      <c r="I216" s="24"/>
      <c r="J216" s="25"/>
      <c r="K216" s="25"/>
      <c r="L216" s="25"/>
      <c r="M216" s="25"/>
      <c r="N216" s="25"/>
      <c r="O216" s="25"/>
      <c r="P216" s="25"/>
      <c r="Q216" s="25"/>
    </row>
    <row r="217" spans="2:17" x14ac:dyDescent="0.3">
      <c r="B217" s="24"/>
      <c r="C217" s="24"/>
      <c r="D217" s="62"/>
      <c r="E217" s="24"/>
      <c r="F217" s="24"/>
      <c r="G217" s="62"/>
      <c r="H217" s="24"/>
      <c r="I217" s="24"/>
      <c r="J217" s="25"/>
      <c r="K217" s="25"/>
      <c r="L217" s="25"/>
      <c r="M217" s="25"/>
      <c r="N217" s="25"/>
      <c r="O217" s="25"/>
      <c r="P217" s="25"/>
      <c r="Q217" s="25"/>
    </row>
    <row r="218" spans="2:17" x14ac:dyDescent="0.3">
      <c r="B218" s="24"/>
      <c r="C218" s="24"/>
      <c r="D218" s="62"/>
      <c r="E218" s="24"/>
      <c r="F218" s="24"/>
      <c r="G218" s="62"/>
      <c r="H218" s="24"/>
      <c r="I218" s="24"/>
      <c r="J218" s="25"/>
      <c r="K218" s="25"/>
      <c r="L218" s="25"/>
      <c r="M218" s="25"/>
      <c r="N218" s="25"/>
      <c r="O218" s="25"/>
      <c r="P218" s="25"/>
      <c r="Q218" s="25"/>
    </row>
    <row r="219" spans="2:17" x14ac:dyDescent="0.3">
      <c r="B219" s="24"/>
      <c r="C219" s="24"/>
      <c r="D219" s="62"/>
      <c r="E219" s="24"/>
      <c r="F219" s="24"/>
      <c r="G219" s="62"/>
      <c r="H219" s="24"/>
      <c r="I219" s="24"/>
      <c r="J219" s="25"/>
      <c r="K219" s="25"/>
      <c r="L219" s="25"/>
      <c r="M219" s="25"/>
      <c r="N219" s="25"/>
      <c r="O219" s="25"/>
      <c r="P219" s="25"/>
      <c r="Q219" s="25"/>
    </row>
    <row r="220" spans="2:17" x14ac:dyDescent="0.3">
      <c r="B220" s="24"/>
      <c r="C220" s="24"/>
      <c r="D220" s="62"/>
      <c r="E220" s="24"/>
      <c r="F220" s="24"/>
      <c r="G220" s="62"/>
      <c r="H220" s="24"/>
      <c r="I220" s="24"/>
      <c r="J220" s="25"/>
      <c r="K220" s="25"/>
      <c r="L220" s="25"/>
      <c r="M220" s="25"/>
      <c r="N220" s="25"/>
      <c r="O220" s="25"/>
      <c r="P220" s="25"/>
      <c r="Q220" s="25"/>
    </row>
    <row r="221" spans="2:17" x14ac:dyDescent="0.3">
      <c r="B221" s="24"/>
      <c r="C221" s="24"/>
      <c r="D221" s="62"/>
      <c r="E221" s="24"/>
      <c r="F221" s="24"/>
      <c r="G221" s="62"/>
      <c r="H221" s="24"/>
      <c r="I221" s="24"/>
      <c r="J221" s="25"/>
      <c r="K221" s="25"/>
      <c r="L221" s="25"/>
      <c r="M221" s="25"/>
      <c r="N221" s="25"/>
      <c r="O221" s="25"/>
      <c r="P221" s="25"/>
      <c r="Q221" s="25"/>
    </row>
    <row r="222" spans="2:17" x14ac:dyDescent="0.3">
      <c r="B222" s="24"/>
      <c r="C222" s="24"/>
      <c r="D222" s="62"/>
      <c r="E222" s="24"/>
      <c r="F222" s="24"/>
      <c r="G222" s="62"/>
      <c r="H222" s="24"/>
      <c r="I222" s="24"/>
      <c r="J222" s="25"/>
      <c r="K222" s="25"/>
      <c r="L222" s="25"/>
      <c r="M222" s="25"/>
      <c r="N222" s="25"/>
      <c r="O222" s="25"/>
      <c r="P222" s="25"/>
      <c r="Q222" s="25"/>
    </row>
    <row r="223" spans="2:17" x14ac:dyDescent="0.3">
      <c r="B223" s="24"/>
      <c r="C223" s="24"/>
      <c r="D223" s="62"/>
      <c r="E223" s="24"/>
      <c r="F223" s="24"/>
      <c r="G223" s="62"/>
      <c r="H223" s="24"/>
      <c r="I223" s="24"/>
      <c r="J223" s="25"/>
      <c r="K223" s="25"/>
      <c r="L223" s="25"/>
      <c r="M223" s="25"/>
      <c r="N223" s="25"/>
      <c r="O223" s="25"/>
      <c r="P223" s="25"/>
      <c r="Q223" s="25"/>
    </row>
    <row r="224" spans="2:17" x14ac:dyDescent="0.3">
      <c r="B224" s="24"/>
      <c r="C224" s="24"/>
      <c r="D224" s="62"/>
      <c r="E224" s="24"/>
      <c r="F224" s="24"/>
      <c r="G224" s="62"/>
      <c r="H224" s="24"/>
      <c r="I224" s="24"/>
      <c r="J224" s="25"/>
      <c r="K224" s="25"/>
      <c r="L224" s="25"/>
      <c r="M224" s="25"/>
      <c r="N224" s="25"/>
      <c r="O224" s="25"/>
      <c r="P224" s="25"/>
      <c r="Q224" s="25"/>
    </row>
    <row r="225" spans="2:17" x14ac:dyDescent="0.3">
      <c r="B225" s="24"/>
      <c r="C225" s="24"/>
      <c r="D225" s="62"/>
      <c r="E225" s="24"/>
      <c r="F225" s="24"/>
      <c r="G225" s="62"/>
      <c r="H225" s="24"/>
      <c r="I225" s="24"/>
      <c r="J225" s="25"/>
      <c r="K225" s="25"/>
      <c r="L225" s="25"/>
      <c r="M225" s="25"/>
      <c r="N225" s="25"/>
      <c r="O225" s="25"/>
      <c r="P225" s="25"/>
      <c r="Q225" s="25"/>
    </row>
    <row r="226" spans="2:17" x14ac:dyDescent="0.3">
      <c r="B226" s="24"/>
      <c r="C226" s="24"/>
      <c r="D226" s="62"/>
      <c r="E226" s="24"/>
      <c r="F226" s="24"/>
      <c r="G226" s="62"/>
      <c r="H226" s="24"/>
      <c r="I226" s="24"/>
      <c r="J226" s="25"/>
      <c r="K226" s="25"/>
      <c r="L226" s="25"/>
      <c r="M226" s="25"/>
      <c r="N226" s="25"/>
      <c r="O226" s="25"/>
      <c r="P226" s="25"/>
      <c r="Q226" s="25"/>
    </row>
    <row r="227" spans="2:17" x14ac:dyDescent="0.3">
      <c r="B227" s="24"/>
      <c r="C227" s="24"/>
      <c r="D227" s="62"/>
      <c r="E227" s="24"/>
      <c r="F227" s="24"/>
      <c r="G227" s="62"/>
      <c r="H227" s="24"/>
      <c r="I227" s="24"/>
      <c r="J227" s="25"/>
      <c r="K227" s="25"/>
      <c r="L227" s="25"/>
      <c r="M227" s="25"/>
      <c r="N227" s="25"/>
      <c r="O227" s="25"/>
      <c r="P227" s="25"/>
      <c r="Q227" s="25"/>
    </row>
    <row r="228" spans="2:17" x14ac:dyDescent="0.3">
      <c r="B228" s="24"/>
      <c r="C228" s="24"/>
      <c r="D228" s="62"/>
      <c r="E228" s="24"/>
      <c r="F228" s="24"/>
      <c r="G228" s="62"/>
      <c r="H228" s="24"/>
      <c r="I228" s="24"/>
      <c r="J228" s="25"/>
      <c r="K228" s="25"/>
      <c r="L228" s="25"/>
      <c r="M228" s="25"/>
      <c r="N228" s="25"/>
      <c r="O228" s="25"/>
      <c r="P228" s="25"/>
      <c r="Q228" s="25"/>
    </row>
    <row r="229" spans="2:17" x14ac:dyDescent="0.3">
      <c r="B229" s="24"/>
      <c r="C229" s="24"/>
      <c r="D229" s="62"/>
      <c r="E229" s="24"/>
      <c r="F229" s="24"/>
      <c r="G229" s="62"/>
      <c r="H229" s="24"/>
      <c r="I229" s="24"/>
      <c r="J229" s="25"/>
      <c r="K229" s="25"/>
      <c r="L229" s="25"/>
      <c r="M229" s="25"/>
      <c r="N229" s="25"/>
      <c r="O229" s="25"/>
      <c r="P229" s="25"/>
      <c r="Q229" s="25"/>
    </row>
    <row r="230" spans="2:17" x14ac:dyDescent="0.3">
      <c r="B230" s="24"/>
      <c r="C230" s="24"/>
      <c r="D230" s="62"/>
      <c r="E230" s="24"/>
      <c r="F230" s="24"/>
      <c r="G230" s="62"/>
      <c r="H230" s="24"/>
      <c r="I230" s="24"/>
      <c r="J230" s="25"/>
      <c r="K230" s="25"/>
      <c r="L230" s="25"/>
      <c r="M230" s="25"/>
      <c r="N230" s="25"/>
      <c r="O230" s="25"/>
      <c r="P230" s="25"/>
      <c r="Q230" s="25"/>
    </row>
    <row r="231" spans="2:17" x14ac:dyDescent="0.3">
      <c r="B231" s="24"/>
      <c r="C231" s="24"/>
      <c r="D231" s="62"/>
      <c r="E231" s="24"/>
      <c r="F231" s="24"/>
      <c r="G231" s="62"/>
      <c r="H231" s="24"/>
      <c r="I231" s="24"/>
      <c r="J231" s="25"/>
      <c r="K231" s="25"/>
      <c r="L231" s="25"/>
      <c r="M231" s="25"/>
      <c r="N231" s="25"/>
      <c r="O231" s="25"/>
      <c r="P231" s="25"/>
      <c r="Q231" s="25"/>
    </row>
    <row r="232" spans="2:17" x14ac:dyDescent="0.3">
      <c r="B232" s="24"/>
      <c r="C232" s="24"/>
      <c r="D232" s="62"/>
      <c r="E232" s="24"/>
      <c r="F232" s="24"/>
      <c r="G232" s="62"/>
      <c r="H232" s="24"/>
      <c r="I232" s="24"/>
      <c r="J232" s="25"/>
      <c r="K232" s="25"/>
      <c r="L232" s="25"/>
      <c r="M232" s="25"/>
      <c r="N232" s="25"/>
      <c r="O232" s="25"/>
      <c r="P232" s="25"/>
      <c r="Q232" s="25"/>
    </row>
    <row r="233" spans="2:17" x14ac:dyDescent="0.3">
      <c r="B233" s="24"/>
      <c r="C233" s="24"/>
      <c r="D233" s="62"/>
      <c r="E233" s="24"/>
      <c r="F233" s="24"/>
      <c r="G233" s="62"/>
      <c r="H233" s="24"/>
      <c r="I233" s="24"/>
      <c r="J233" s="25"/>
      <c r="K233" s="25"/>
      <c r="L233" s="25"/>
      <c r="M233" s="25"/>
      <c r="N233" s="25"/>
      <c r="O233" s="25"/>
      <c r="P233" s="25"/>
      <c r="Q233" s="25"/>
    </row>
    <row r="234" spans="2:17" x14ac:dyDescent="0.3">
      <c r="B234" s="24"/>
      <c r="C234" s="24"/>
      <c r="D234" s="62"/>
      <c r="E234" s="24"/>
      <c r="F234" s="24"/>
      <c r="G234" s="62"/>
      <c r="H234" s="24"/>
      <c r="I234" s="24"/>
      <c r="J234" s="25"/>
      <c r="K234" s="25"/>
      <c r="L234" s="25"/>
      <c r="M234" s="25"/>
      <c r="N234" s="25"/>
      <c r="O234" s="25"/>
      <c r="P234" s="25"/>
      <c r="Q234" s="25"/>
    </row>
    <row r="235" spans="2:17" x14ac:dyDescent="0.3">
      <c r="B235" s="24"/>
      <c r="C235" s="24"/>
      <c r="D235" s="62"/>
      <c r="E235" s="24"/>
      <c r="F235" s="24"/>
      <c r="G235" s="62"/>
      <c r="H235" s="24"/>
      <c r="I235" s="24"/>
      <c r="J235" s="25"/>
      <c r="K235" s="25"/>
      <c r="L235" s="25"/>
      <c r="M235" s="25"/>
      <c r="N235" s="25"/>
      <c r="O235" s="25"/>
      <c r="P235" s="25"/>
      <c r="Q235" s="25"/>
    </row>
    <row r="236" spans="2:17" x14ac:dyDescent="0.3">
      <c r="B236" s="24"/>
      <c r="C236" s="24"/>
      <c r="D236" s="62"/>
      <c r="E236" s="24"/>
      <c r="F236" s="24"/>
      <c r="G236" s="62"/>
      <c r="H236" s="24"/>
      <c r="I236" s="24"/>
      <c r="J236" s="25"/>
      <c r="K236" s="25"/>
      <c r="L236" s="25"/>
      <c r="M236" s="25"/>
      <c r="N236" s="25"/>
      <c r="O236" s="25"/>
      <c r="P236" s="25"/>
      <c r="Q236" s="25"/>
    </row>
    <row r="237" spans="2:17" x14ac:dyDescent="0.3">
      <c r="B237" s="24"/>
      <c r="C237" s="24"/>
      <c r="D237" s="62"/>
      <c r="E237" s="24"/>
      <c r="F237" s="24"/>
      <c r="G237" s="62"/>
      <c r="H237" s="24"/>
      <c r="I237" s="24"/>
      <c r="J237" s="25"/>
      <c r="K237" s="25"/>
      <c r="L237" s="25"/>
      <c r="M237" s="25"/>
      <c r="N237" s="25"/>
      <c r="O237" s="25"/>
      <c r="P237" s="25"/>
      <c r="Q237" s="25"/>
    </row>
    <row r="238" spans="2:17" x14ac:dyDescent="0.3">
      <c r="B238" s="24"/>
      <c r="C238" s="24"/>
      <c r="D238" s="62"/>
      <c r="E238" s="24"/>
      <c r="F238" s="24"/>
      <c r="G238" s="62"/>
      <c r="H238" s="24"/>
      <c r="I238" s="24"/>
      <c r="J238" s="25"/>
      <c r="K238" s="25"/>
      <c r="L238" s="25"/>
      <c r="M238" s="25"/>
      <c r="N238" s="25"/>
      <c r="O238" s="25"/>
      <c r="P238" s="25"/>
      <c r="Q238" s="25"/>
    </row>
    <row r="239" spans="2:17" x14ac:dyDescent="0.3">
      <c r="B239" s="24"/>
      <c r="C239" s="24"/>
      <c r="D239" s="62"/>
      <c r="E239" s="24"/>
      <c r="F239" s="24"/>
      <c r="G239" s="62"/>
      <c r="H239" s="24"/>
      <c r="I239" s="24"/>
      <c r="J239" s="25"/>
      <c r="K239" s="25"/>
      <c r="L239" s="25"/>
      <c r="M239" s="25"/>
      <c r="N239" s="25"/>
      <c r="O239" s="25"/>
      <c r="P239" s="25"/>
      <c r="Q239" s="25"/>
    </row>
    <row r="240" spans="2:17" x14ac:dyDescent="0.3">
      <c r="B240" s="24"/>
      <c r="C240" s="24"/>
      <c r="D240" s="62"/>
      <c r="E240" s="24"/>
      <c r="F240" s="24"/>
      <c r="G240" s="62"/>
      <c r="H240" s="24"/>
      <c r="I240" s="24"/>
      <c r="J240" s="25"/>
      <c r="K240" s="25"/>
      <c r="L240" s="25"/>
      <c r="M240" s="25"/>
      <c r="N240" s="25"/>
      <c r="O240" s="25"/>
      <c r="P240" s="25"/>
      <c r="Q240" s="25"/>
    </row>
    <row r="241" spans="2:17" x14ac:dyDescent="0.3">
      <c r="B241" s="24"/>
      <c r="C241" s="24"/>
      <c r="D241" s="62"/>
      <c r="E241" s="24"/>
      <c r="F241" s="24"/>
      <c r="G241" s="62"/>
      <c r="H241" s="24"/>
      <c r="I241" s="24"/>
      <c r="J241" s="25"/>
      <c r="K241" s="25"/>
      <c r="L241" s="25"/>
      <c r="M241" s="25"/>
      <c r="N241" s="25"/>
      <c r="O241" s="25"/>
      <c r="P241" s="25"/>
      <c r="Q241" s="25"/>
    </row>
    <row r="242" spans="2:17" x14ac:dyDescent="0.3">
      <c r="B242" s="24"/>
      <c r="C242" s="24"/>
      <c r="D242" s="62"/>
      <c r="E242" s="24"/>
      <c r="F242" s="24"/>
      <c r="G242" s="62"/>
      <c r="H242" s="24"/>
      <c r="I242" s="24"/>
      <c r="J242" s="25"/>
      <c r="K242" s="25"/>
      <c r="L242" s="25"/>
      <c r="M242" s="25"/>
      <c r="N242" s="25"/>
      <c r="O242" s="25"/>
      <c r="P242" s="25"/>
      <c r="Q242" s="25"/>
    </row>
    <row r="243" spans="2:17" x14ac:dyDescent="0.3">
      <c r="B243" s="24"/>
      <c r="C243" s="24"/>
      <c r="D243" s="62"/>
      <c r="E243" s="24"/>
      <c r="F243" s="24"/>
      <c r="G243" s="62"/>
      <c r="H243" s="24"/>
      <c r="I243" s="24"/>
      <c r="J243" s="25"/>
      <c r="K243" s="25"/>
      <c r="L243" s="25"/>
      <c r="M243" s="25"/>
      <c r="N243" s="25"/>
      <c r="O243" s="25"/>
      <c r="P243" s="25"/>
      <c r="Q243" s="25"/>
    </row>
    <row r="244" spans="2:17" x14ac:dyDescent="0.3">
      <c r="B244" s="24"/>
      <c r="C244" s="24"/>
      <c r="D244" s="62"/>
      <c r="E244" s="24"/>
      <c r="F244" s="24"/>
      <c r="G244" s="62"/>
      <c r="H244" s="24"/>
      <c r="I244" s="24"/>
      <c r="J244" s="25"/>
      <c r="K244" s="25"/>
      <c r="L244" s="25"/>
      <c r="M244" s="25"/>
      <c r="N244" s="25"/>
      <c r="O244" s="25"/>
      <c r="P244" s="25"/>
      <c r="Q244" s="25"/>
    </row>
    <row r="245" spans="2:17" x14ac:dyDescent="0.3">
      <c r="B245" s="24"/>
      <c r="C245" s="24"/>
      <c r="D245" s="62"/>
      <c r="E245" s="24"/>
      <c r="F245" s="24"/>
      <c r="G245" s="62"/>
      <c r="H245" s="24"/>
      <c r="I245" s="24"/>
      <c r="J245" s="25"/>
      <c r="K245" s="25"/>
      <c r="L245" s="25"/>
      <c r="M245" s="25"/>
      <c r="N245" s="25"/>
      <c r="O245" s="25"/>
      <c r="P245" s="25"/>
      <c r="Q245" s="25"/>
    </row>
    <row r="246" spans="2:17" x14ac:dyDescent="0.3">
      <c r="B246" s="24"/>
      <c r="C246" s="24"/>
      <c r="D246" s="62"/>
      <c r="E246" s="24"/>
      <c r="F246" s="24"/>
      <c r="G246" s="62"/>
      <c r="H246" s="24"/>
      <c r="I246" s="24"/>
      <c r="J246" s="25"/>
      <c r="K246" s="25"/>
      <c r="L246" s="25"/>
      <c r="M246" s="25"/>
      <c r="N246" s="25"/>
      <c r="O246" s="25"/>
      <c r="P246" s="25"/>
      <c r="Q246" s="25"/>
    </row>
    <row r="247" spans="2:17" x14ac:dyDescent="0.3">
      <c r="B247" s="24"/>
      <c r="C247" s="24"/>
      <c r="D247" s="62"/>
      <c r="E247" s="24"/>
      <c r="F247" s="24"/>
      <c r="G247" s="62"/>
      <c r="H247" s="24"/>
      <c r="I247" s="24"/>
      <c r="J247" s="25"/>
      <c r="K247" s="25"/>
      <c r="L247" s="25"/>
      <c r="M247" s="25"/>
      <c r="N247" s="25"/>
      <c r="O247" s="25"/>
      <c r="P247" s="25"/>
      <c r="Q247" s="25"/>
    </row>
  </sheetData>
  <mergeCells count="3">
    <mergeCell ref="B5:D5"/>
    <mergeCell ref="E5:G5"/>
    <mergeCell ref="A2:I2"/>
  </mergeCells>
  <phoneticPr fontId="3" type="noConversion"/>
  <printOptions horizontalCentered="1" verticalCentered="1"/>
  <pageMargins left="0.78740157480314998" right="0.78740157480314998" top="0.98425196850393704" bottom="0.98425196850393704" header="0.511811023622047" footer="0.511811023622047"/>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57"/>
    <outlinePr applyStyles="1" summaryBelow="0"/>
    <pageSetUpPr fitToPage="1"/>
  </sheetPr>
  <dimension ref="A1:S180"/>
  <sheetViews>
    <sheetView topLeftCell="A4" workbookViewId="0">
      <selection activeCell="A6" sqref="A6"/>
    </sheetView>
  </sheetViews>
  <sheetFormatPr defaultColWidth="9.1796875" defaultRowHeight="10.5" outlineLevelRow="4" x14ac:dyDescent="0.25"/>
  <cols>
    <col min="1" max="1" width="52" style="7" customWidth="1"/>
    <col min="2" max="14" width="16.26953125" style="8" customWidth="1"/>
    <col min="15" max="15" width="9.1796875" style="7" customWidth="1"/>
    <col min="16" max="16384" width="9.1796875" style="7"/>
  </cols>
  <sheetData>
    <row r="1" spans="1:19" s="21" customFormat="1" ht="18.5" x14ac:dyDescent="0.3">
      <c r="A1" s="278"/>
      <c r="B1" s="278"/>
      <c r="C1" s="278"/>
      <c r="D1" s="278"/>
      <c r="E1" s="278"/>
      <c r="F1" s="278"/>
      <c r="G1" s="278"/>
      <c r="H1" s="278"/>
      <c r="I1" s="278"/>
      <c r="J1" s="278"/>
      <c r="K1" s="278"/>
      <c r="L1" s="278"/>
      <c r="M1" s="278"/>
      <c r="N1" s="278"/>
    </row>
    <row r="2" spans="1:19" s="21" customFormat="1" ht="18.5" x14ac:dyDescent="0.3">
      <c r="A2" s="278"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c r="B2" s="278"/>
      <c r="C2" s="278"/>
      <c r="D2" s="278"/>
      <c r="E2" s="278"/>
      <c r="F2" s="278"/>
      <c r="G2" s="278"/>
      <c r="H2" s="278"/>
      <c r="I2" s="278"/>
      <c r="J2" s="278"/>
      <c r="K2" s="278"/>
      <c r="L2" s="278"/>
      <c r="M2" s="278"/>
      <c r="N2" s="278"/>
      <c r="O2" s="6"/>
      <c r="P2" s="6"/>
      <c r="Q2" s="6"/>
      <c r="R2" s="6"/>
      <c r="S2" s="6"/>
    </row>
    <row r="3" spans="1:19" s="21" customFormat="1" ht="13" x14ac:dyDescent="0.3">
      <c r="A3" s="23"/>
      <c r="B3" s="22"/>
      <c r="C3" s="22"/>
      <c r="D3" s="22"/>
      <c r="E3" s="22"/>
      <c r="F3" s="22"/>
      <c r="G3" s="22"/>
      <c r="H3" s="22"/>
      <c r="I3" s="22"/>
      <c r="J3" s="22"/>
      <c r="K3" s="22"/>
      <c r="L3" s="22"/>
      <c r="M3" s="22"/>
      <c r="N3" s="22"/>
    </row>
    <row r="4" spans="1:19" s="26" customFormat="1" ht="13" x14ac:dyDescent="0.3">
      <c r="B4" s="27"/>
      <c r="C4" s="27"/>
      <c r="D4" s="27"/>
      <c r="E4" s="27"/>
      <c r="F4" s="27"/>
      <c r="G4" s="27"/>
      <c r="H4" s="27"/>
      <c r="I4" s="27"/>
      <c r="J4" s="27"/>
      <c r="K4" s="27"/>
      <c r="L4" s="27"/>
      <c r="M4" s="27"/>
      <c r="N4" s="27" t="str">
        <f>VALUAH</f>
        <v>млрд. грн</v>
      </c>
    </row>
    <row r="5" spans="1:19" s="13" customFormat="1" ht="13" x14ac:dyDescent="0.25">
      <c r="A5" s="11"/>
      <c r="B5" s="12">
        <v>45291</v>
      </c>
      <c r="C5" s="12">
        <v>45322</v>
      </c>
      <c r="D5" s="12">
        <v>45351</v>
      </c>
      <c r="E5" s="12">
        <v>45382</v>
      </c>
      <c r="F5" s="12">
        <v>45412</v>
      </c>
      <c r="G5" s="12">
        <v>45443</v>
      </c>
      <c r="H5" s="12">
        <v>45473</v>
      </c>
      <c r="I5" s="12">
        <v>45504</v>
      </c>
      <c r="J5" s="12">
        <v>45535</v>
      </c>
      <c r="K5" s="12">
        <v>45565</v>
      </c>
      <c r="L5" s="12">
        <v>45596</v>
      </c>
      <c r="M5" s="12">
        <v>45626</v>
      </c>
      <c r="N5" s="12">
        <v>45657</v>
      </c>
    </row>
    <row r="6" spans="1:19" s="14" customFormat="1" ht="31" x14ac:dyDescent="0.25">
      <c r="A6" s="140"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0">
        <f t="shared" ref="B6:N6" si="0">B$87+B$7</f>
        <v>5519.6354586101506</v>
      </c>
      <c r="C6" s="20">
        <f t="shared" si="0"/>
        <v>5488.0437884565208</v>
      </c>
      <c r="D6" s="20">
        <f t="shared" si="0"/>
        <v>5490.0721255074795</v>
      </c>
      <c r="E6" s="20">
        <f t="shared" si="0"/>
        <v>5924.3840320867093</v>
      </c>
      <c r="F6" s="20">
        <f t="shared" si="0"/>
        <v>6010.7158054227702</v>
      </c>
      <c r="G6" s="20">
        <f t="shared" si="0"/>
        <v>6115.3982276941188</v>
      </c>
      <c r="H6" s="20">
        <f t="shared" si="0"/>
        <v>6168.0601610008189</v>
      </c>
      <c r="I6" s="20">
        <f t="shared" si="0"/>
        <v>6373.9845821147792</v>
      </c>
      <c r="J6" s="20">
        <f t="shared" si="0"/>
        <v>6372.7936338663194</v>
      </c>
      <c r="K6" s="20">
        <f t="shared" si="0"/>
        <v>6410.3432121414589</v>
      </c>
      <c r="L6" s="20">
        <f t="shared" si="0"/>
        <v>6414.6548865530995</v>
      </c>
      <c r="M6" s="20">
        <f t="shared" si="0"/>
        <v>6645.7842960634589</v>
      </c>
      <c r="N6" s="20">
        <f t="shared" si="0"/>
        <v>6980.9340147853909</v>
      </c>
    </row>
    <row r="7" spans="1:19" s="126" customFormat="1" ht="14.5" outlineLevel="1" x14ac:dyDescent="0.25">
      <c r="A7" s="167" t="s">
        <v>1</v>
      </c>
      <c r="B7" s="168">
        <f t="shared" ref="B7:N7" si="1">B$8+B$44</f>
        <v>5188.0907415274305</v>
      </c>
      <c r="C7" s="168">
        <f t="shared" si="1"/>
        <v>5154.342103280761</v>
      </c>
      <c r="D7" s="168">
        <f t="shared" si="1"/>
        <v>5167.2531379974098</v>
      </c>
      <c r="E7" s="168">
        <f t="shared" si="1"/>
        <v>5612.5548101356389</v>
      </c>
      <c r="F7" s="168">
        <f t="shared" si="1"/>
        <v>5699.54362534547</v>
      </c>
      <c r="G7" s="168">
        <f t="shared" si="1"/>
        <v>5797.763292530859</v>
      </c>
      <c r="H7" s="168">
        <f t="shared" si="1"/>
        <v>5850.150291919419</v>
      </c>
      <c r="I7" s="168">
        <f t="shared" si="1"/>
        <v>6050.0594724281591</v>
      </c>
      <c r="J7" s="168">
        <f t="shared" si="1"/>
        <v>6079.8349600437896</v>
      </c>
      <c r="K7" s="168">
        <f t="shared" si="1"/>
        <v>6123.2216710161292</v>
      </c>
      <c r="L7" s="168">
        <f t="shared" si="1"/>
        <v>6135.5241460141197</v>
      </c>
      <c r="M7" s="168">
        <f t="shared" si="1"/>
        <v>6366.4363020214987</v>
      </c>
      <c r="N7" s="168">
        <f t="shared" si="1"/>
        <v>6692.4229054677808</v>
      </c>
    </row>
    <row r="8" spans="1:19" s="16" customFormat="1" ht="14.5" outlineLevel="2" x14ac:dyDescent="0.25">
      <c r="A8" s="169" t="s">
        <v>57</v>
      </c>
      <c r="B8" s="170">
        <f t="shared" ref="B8:N8" si="2">B$9+B$42</f>
        <v>1587.6975846597604</v>
      </c>
      <c r="C8" s="170">
        <f t="shared" si="2"/>
        <v>1602.6442239495602</v>
      </c>
      <c r="D8" s="170">
        <f t="shared" si="2"/>
        <v>1598.39206778476</v>
      </c>
      <c r="E8" s="170">
        <f t="shared" si="2"/>
        <v>1617.7963423828598</v>
      </c>
      <c r="F8" s="170">
        <f t="shared" si="2"/>
        <v>1643.4805234000398</v>
      </c>
      <c r="G8" s="170">
        <f t="shared" si="2"/>
        <v>1636.3022215191397</v>
      </c>
      <c r="H8" s="170">
        <f t="shared" si="2"/>
        <v>1642.5815651403395</v>
      </c>
      <c r="I8" s="170">
        <f t="shared" si="2"/>
        <v>1671.2709845805191</v>
      </c>
      <c r="J8" s="170">
        <f t="shared" si="2"/>
        <v>1680.4406755469192</v>
      </c>
      <c r="K8" s="170">
        <f t="shared" si="2"/>
        <v>1729.0022003853992</v>
      </c>
      <c r="L8" s="170">
        <f t="shared" si="2"/>
        <v>1762.9680718493989</v>
      </c>
      <c r="M8" s="170">
        <f t="shared" si="2"/>
        <v>1807.987828227599</v>
      </c>
      <c r="N8" s="170">
        <f t="shared" si="2"/>
        <v>1863.132117454179</v>
      </c>
    </row>
    <row r="9" spans="1:19" s="17" customFormat="1" ht="13" outlineLevel="3" x14ac:dyDescent="0.25">
      <c r="A9" s="171" t="s">
        <v>58</v>
      </c>
      <c r="B9" s="172">
        <f t="shared" ref="B9:N9" si="3">SUM(B$10:B$41)</f>
        <v>1586.1105543895005</v>
      </c>
      <c r="C9" s="172">
        <f t="shared" si="3"/>
        <v>1601.0571936793003</v>
      </c>
      <c r="D9" s="172">
        <f t="shared" si="3"/>
        <v>1596.8050375145001</v>
      </c>
      <c r="E9" s="172">
        <f t="shared" si="3"/>
        <v>1616.2093121125999</v>
      </c>
      <c r="F9" s="172">
        <f t="shared" si="3"/>
        <v>1641.9265562603998</v>
      </c>
      <c r="G9" s="172">
        <f t="shared" si="3"/>
        <v>1634.7482543794997</v>
      </c>
      <c r="H9" s="172">
        <f t="shared" si="3"/>
        <v>1641.0275980006995</v>
      </c>
      <c r="I9" s="172">
        <f t="shared" si="3"/>
        <v>1669.7500805714992</v>
      </c>
      <c r="J9" s="172">
        <f t="shared" si="3"/>
        <v>1678.9197715378994</v>
      </c>
      <c r="K9" s="172">
        <f t="shared" si="3"/>
        <v>1727.5143595069992</v>
      </c>
      <c r="L9" s="172">
        <f t="shared" si="3"/>
        <v>1761.4802309709989</v>
      </c>
      <c r="M9" s="172">
        <f t="shared" si="3"/>
        <v>1806.499987349199</v>
      </c>
      <c r="N9" s="172">
        <f t="shared" si="3"/>
        <v>1861.6773397063989</v>
      </c>
    </row>
    <row r="10" spans="1:19" s="19" customFormat="1" ht="13" outlineLevel="4" x14ac:dyDescent="0.25">
      <c r="A10" s="173" t="s">
        <v>59</v>
      </c>
      <c r="B10" s="165">
        <v>75.401431000000002</v>
      </c>
      <c r="C10" s="165">
        <v>75.401431000000002</v>
      </c>
      <c r="D10" s="165">
        <v>75.401431000000002</v>
      </c>
      <c r="E10" s="165">
        <v>73.401431000000002</v>
      </c>
      <c r="F10" s="165">
        <v>70.901431000000002</v>
      </c>
      <c r="G10" s="165">
        <v>70.901431000000002</v>
      </c>
      <c r="H10" s="165">
        <v>70.901431000000002</v>
      </c>
      <c r="I10" s="165">
        <v>70.901431000000002</v>
      </c>
      <c r="J10" s="165">
        <v>70.901431000000002</v>
      </c>
      <c r="K10" s="165">
        <v>69.661430999999993</v>
      </c>
      <c r="L10" s="165">
        <v>53.630439000000003</v>
      </c>
      <c r="M10" s="165">
        <v>53.630439000000003</v>
      </c>
      <c r="N10" s="165">
        <v>58.630439000000003</v>
      </c>
    </row>
    <row r="11" spans="1:19" ht="13" outlineLevel="4" x14ac:dyDescent="0.3">
      <c r="A11" s="174" t="s">
        <v>60</v>
      </c>
      <c r="B11" s="175">
        <v>17.533000000000001</v>
      </c>
      <c r="C11" s="175">
        <v>17.533000000000001</v>
      </c>
      <c r="D11" s="175">
        <v>17.533000000000001</v>
      </c>
      <c r="E11" s="175">
        <v>17.533000000000001</v>
      </c>
      <c r="F11" s="175">
        <v>17.533000000000001</v>
      </c>
      <c r="G11" s="175">
        <v>17.533000000000001</v>
      </c>
      <c r="H11" s="175">
        <v>17.533000000000001</v>
      </c>
      <c r="I11" s="175">
        <v>17.533000000000001</v>
      </c>
      <c r="J11" s="175">
        <v>17.533000000000001</v>
      </c>
      <c r="K11" s="175">
        <v>17.533000000000001</v>
      </c>
      <c r="L11" s="175">
        <v>17.533000000000001</v>
      </c>
      <c r="M11" s="175">
        <v>17.533000000000001</v>
      </c>
      <c r="N11" s="175">
        <v>17.533000000000001</v>
      </c>
      <c r="O11" s="10"/>
      <c r="P11" s="10"/>
      <c r="Q11" s="10"/>
    </row>
    <row r="12" spans="1:19" ht="13" outlineLevel="4" x14ac:dyDescent="0.3">
      <c r="A12" s="174" t="s">
        <v>61</v>
      </c>
      <c r="B12" s="175">
        <v>124.26256048570001</v>
      </c>
      <c r="C12" s="175">
        <v>125.7688936253</v>
      </c>
      <c r="D12" s="175">
        <v>126.4881585361</v>
      </c>
      <c r="E12" s="175">
        <v>118.54101703960001</v>
      </c>
      <c r="F12" s="175">
        <v>119.3335019732</v>
      </c>
      <c r="G12" s="175">
        <v>86.814149702500004</v>
      </c>
      <c r="H12" s="175">
        <v>74.041408310199998</v>
      </c>
      <c r="I12" s="175">
        <v>74.787155294599998</v>
      </c>
      <c r="J12" s="175">
        <v>75.103642996999994</v>
      </c>
      <c r="K12" s="175">
        <v>61.130374466900001</v>
      </c>
      <c r="L12" s="175">
        <v>32.233164715000001</v>
      </c>
      <c r="M12" s="175">
        <v>3.8076684433999999</v>
      </c>
      <c r="N12" s="175">
        <v>3.8132242193999999</v>
      </c>
      <c r="O12" s="10"/>
      <c r="P12" s="10"/>
      <c r="Q12" s="10"/>
    </row>
    <row r="13" spans="1:19" ht="13" outlineLevel="4" x14ac:dyDescent="0.3">
      <c r="A13" s="174" t="s">
        <v>62</v>
      </c>
      <c r="B13" s="175">
        <v>50</v>
      </c>
      <c r="C13" s="175">
        <v>50</v>
      </c>
      <c r="D13" s="175">
        <v>50</v>
      </c>
      <c r="E13" s="175">
        <v>50</v>
      </c>
      <c r="F13" s="175">
        <v>50</v>
      </c>
      <c r="G13" s="175">
        <v>50</v>
      </c>
      <c r="H13" s="175">
        <v>50</v>
      </c>
      <c r="I13" s="175">
        <v>50</v>
      </c>
      <c r="J13" s="175">
        <v>50</v>
      </c>
      <c r="K13" s="175">
        <v>50</v>
      </c>
      <c r="L13" s="175">
        <v>50</v>
      </c>
      <c r="M13" s="175">
        <v>50</v>
      </c>
      <c r="N13" s="175">
        <v>50</v>
      </c>
      <c r="O13" s="10"/>
      <c r="P13" s="10"/>
      <c r="Q13" s="10"/>
    </row>
    <row r="14" spans="1:19" ht="13" outlineLevel="4" x14ac:dyDescent="0.3">
      <c r="A14" s="174" t="s">
        <v>63</v>
      </c>
      <c r="B14" s="175">
        <v>33.700001</v>
      </c>
      <c r="C14" s="175">
        <v>33.700001</v>
      </c>
      <c r="D14" s="175">
        <v>33.700001</v>
      </c>
      <c r="E14" s="175">
        <v>33.700001</v>
      </c>
      <c r="F14" s="175">
        <v>33.700001</v>
      </c>
      <c r="G14" s="175">
        <v>33.700001</v>
      </c>
      <c r="H14" s="175">
        <v>33.700001</v>
      </c>
      <c r="I14" s="175">
        <v>33.700001</v>
      </c>
      <c r="J14" s="175">
        <v>33.700001</v>
      </c>
      <c r="K14" s="175">
        <v>33.700001</v>
      </c>
      <c r="L14" s="175">
        <v>33.700001</v>
      </c>
      <c r="M14" s="175">
        <v>33.700001</v>
      </c>
      <c r="N14" s="175">
        <v>33.700001</v>
      </c>
      <c r="O14" s="10"/>
      <c r="P14" s="10"/>
      <c r="Q14" s="10"/>
    </row>
    <row r="15" spans="1:19" ht="13" outlineLevel="4" x14ac:dyDescent="0.3">
      <c r="A15" s="174" t="s">
        <v>64</v>
      </c>
      <c r="B15" s="175">
        <v>46.9</v>
      </c>
      <c r="C15" s="175">
        <v>46.9</v>
      </c>
      <c r="D15" s="175">
        <v>46.9</v>
      </c>
      <c r="E15" s="175">
        <v>46.9</v>
      </c>
      <c r="F15" s="175">
        <v>46.9</v>
      </c>
      <c r="G15" s="175">
        <v>46.9</v>
      </c>
      <c r="H15" s="175">
        <v>46.9</v>
      </c>
      <c r="I15" s="175">
        <v>46.9</v>
      </c>
      <c r="J15" s="175">
        <v>46.9</v>
      </c>
      <c r="K15" s="175">
        <v>46.9</v>
      </c>
      <c r="L15" s="175">
        <v>46.9</v>
      </c>
      <c r="M15" s="175">
        <v>46.9</v>
      </c>
      <c r="N15" s="175">
        <v>46.9</v>
      </c>
      <c r="O15" s="10"/>
      <c r="P15" s="10"/>
      <c r="Q15" s="10"/>
    </row>
    <row r="16" spans="1:19" ht="13" outlineLevel="4" x14ac:dyDescent="0.3">
      <c r="A16" s="174" t="s">
        <v>65</v>
      </c>
      <c r="B16" s="175">
        <v>237.101957</v>
      </c>
      <c r="C16" s="175">
        <v>237.101957</v>
      </c>
      <c r="D16" s="175">
        <v>237.101957</v>
      </c>
      <c r="E16" s="175">
        <v>237.101957</v>
      </c>
      <c r="F16" s="175">
        <v>237.101957</v>
      </c>
      <c r="G16" s="175">
        <v>237.101957</v>
      </c>
      <c r="H16" s="175">
        <v>237.101957</v>
      </c>
      <c r="I16" s="175">
        <v>237.101957</v>
      </c>
      <c r="J16" s="175">
        <v>237.101957</v>
      </c>
      <c r="K16" s="175">
        <v>234.202247</v>
      </c>
      <c r="L16" s="175">
        <v>231.302537</v>
      </c>
      <c r="M16" s="175">
        <v>225.503117</v>
      </c>
      <c r="N16" s="175">
        <v>225.503117</v>
      </c>
      <c r="O16" s="10"/>
      <c r="P16" s="10"/>
      <c r="Q16" s="10"/>
    </row>
    <row r="17" spans="1:17" ht="13" outlineLevel="4" x14ac:dyDescent="0.3">
      <c r="A17" s="174" t="s">
        <v>66</v>
      </c>
      <c r="B17" s="175">
        <v>12.097744</v>
      </c>
      <c r="C17" s="175">
        <v>12.097744</v>
      </c>
      <c r="D17" s="175">
        <v>12.097744</v>
      </c>
      <c r="E17" s="175">
        <v>12.097744</v>
      </c>
      <c r="F17" s="175">
        <v>12.097744</v>
      </c>
      <c r="G17" s="175">
        <v>12.097744</v>
      </c>
      <c r="H17" s="175">
        <v>12.097744</v>
      </c>
      <c r="I17" s="175">
        <v>12.097744</v>
      </c>
      <c r="J17" s="175">
        <v>12.097744</v>
      </c>
      <c r="K17" s="175">
        <v>12.097744</v>
      </c>
      <c r="L17" s="175">
        <v>12.097744</v>
      </c>
      <c r="M17" s="175">
        <v>12.097744</v>
      </c>
      <c r="N17" s="175">
        <v>12.097744</v>
      </c>
      <c r="O17" s="10"/>
      <c r="P17" s="10"/>
      <c r="Q17" s="10"/>
    </row>
    <row r="18" spans="1:17" ht="13" outlineLevel="4" x14ac:dyDescent="0.3">
      <c r="A18" s="174" t="s">
        <v>67</v>
      </c>
      <c r="B18" s="175">
        <v>27.097743999999999</v>
      </c>
      <c r="C18" s="175">
        <v>27.097743999999999</v>
      </c>
      <c r="D18" s="175">
        <v>27.097743999999999</v>
      </c>
      <c r="E18" s="175">
        <v>27.097743999999999</v>
      </c>
      <c r="F18" s="175">
        <v>27.097743999999999</v>
      </c>
      <c r="G18" s="175">
        <v>27.097743999999999</v>
      </c>
      <c r="H18" s="175">
        <v>27.097743999999999</v>
      </c>
      <c r="I18" s="175">
        <v>27.097743999999999</v>
      </c>
      <c r="J18" s="175">
        <v>27.097743999999999</v>
      </c>
      <c r="K18" s="175">
        <v>27.097743999999999</v>
      </c>
      <c r="L18" s="175">
        <v>27.097743999999999</v>
      </c>
      <c r="M18" s="175">
        <v>27.097743999999999</v>
      </c>
      <c r="N18" s="175">
        <v>27.097743999999999</v>
      </c>
      <c r="O18" s="10"/>
      <c r="P18" s="10"/>
      <c r="Q18" s="10"/>
    </row>
    <row r="19" spans="1:17" ht="13" outlineLevel="4" x14ac:dyDescent="0.3">
      <c r="A19" s="174" t="s">
        <v>68</v>
      </c>
      <c r="B19" s="175">
        <v>57.311411851499997</v>
      </c>
      <c r="C19" s="175">
        <v>62.757375618099999</v>
      </c>
      <c r="D19" s="175">
        <v>92.266492978399995</v>
      </c>
      <c r="E19" s="175">
        <v>103.58555607300001</v>
      </c>
      <c r="F19" s="175">
        <v>118.8786462872</v>
      </c>
      <c r="G19" s="175">
        <v>138.75929667700001</v>
      </c>
      <c r="H19" s="175">
        <v>164.70196469050001</v>
      </c>
      <c r="I19" s="175">
        <v>193.2987472769</v>
      </c>
      <c r="J19" s="175">
        <v>177.4603875409</v>
      </c>
      <c r="K19" s="175">
        <v>201.9466250401</v>
      </c>
      <c r="L19" s="175">
        <v>260.97928525600003</v>
      </c>
      <c r="M19" s="175">
        <v>269.1374279058</v>
      </c>
      <c r="N19" s="175">
        <v>284.818024487</v>
      </c>
      <c r="O19" s="10"/>
      <c r="P19" s="10"/>
      <c r="Q19" s="10"/>
    </row>
    <row r="20" spans="1:17" ht="13" outlineLevel="4" x14ac:dyDescent="0.3">
      <c r="A20" s="174" t="s">
        <v>69</v>
      </c>
      <c r="B20" s="175">
        <v>12.097744</v>
      </c>
      <c r="C20" s="175">
        <v>12.097744</v>
      </c>
      <c r="D20" s="175">
        <v>12.097744</v>
      </c>
      <c r="E20" s="175">
        <v>12.097744</v>
      </c>
      <c r="F20" s="175">
        <v>12.097744</v>
      </c>
      <c r="G20" s="175">
        <v>12.097744</v>
      </c>
      <c r="H20" s="175">
        <v>12.097744</v>
      </c>
      <c r="I20" s="175">
        <v>12.097744</v>
      </c>
      <c r="J20" s="175">
        <v>12.097744</v>
      </c>
      <c r="K20" s="175">
        <v>12.097744</v>
      </c>
      <c r="L20" s="175">
        <v>12.097744</v>
      </c>
      <c r="M20" s="175">
        <v>12.097744</v>
      </c>
      <c r="N20" s="175">
        <v>12.097744</v>
      </c>
      <c r="O20" s="10"/>
      <c r="P20" s="10"/>
      <c r="Q20" s="10"/>
    </row>
    <row r="21" spans="1:17" ht="13" outlineLevel="4" x14ac:dyDescent="0.3">
      <c r="A21" s="174" t="s">
        <v>70</v>
      </c>
      <c r="B21" s="175">
        <v>12.097744</v>
      </c>
      <c r="C21" s="175">
        <v>12.097744</v>
      </c>
      <c r="D21" s="175">
        <v>12.097744</v>
      </c>
      <c r="E21" s="175">
        <v>12.097744</v>
      </c>
      <c r="F21" s="175">
        <v>12.097744</v>
      </c>
      <c r="G21" s="175">
        <v>12.097744</v>
      </c>
      <c r="H21" s="175">
        <v>12.097744</v>
      </c>
      <c r="I21" s="175">
        <v>12.097744</v>
      </c>
      <c r="J21" s="175">
        <v>12.097744</v>
      </c>
      <c r="K21" s="175">
        <v>12.097744</v>
      </c>
      <c r="L21" s="175">
        <v>12.097744</v>
      </c>
      <c r="M21" s="175">
        <v>12.097744</v>
      </c>
      <c r="N21" s="175">
        <v>12.097744</v>
      </c>
      <c r="O21" s="10"/>
      <c r="P21" s="10"/>
      <c r="Q21" s="10"/>
    </row>
    <row r="22" spans="1:17" ht="13" outlineLevel="4" x14ac:dyDescent="0.3">
      <c r="A22" s="174" t="s">
        <v>71</v>
      </c>
      <c r="B22" s="175">
        <v>192.71749500000001</v>
      </c>
      <c r="C22" s="175">
        <v>200.342615</v>
      </c>
      <c r="D22" s="175">
        <v>198.543251</v>
      </c>
      <c r="E22" s="175">
        <v>210.36363299999999</v>
      </c>
      <c r="F22" s="175">
        <v>213.41722100000001</v>
      </c>
      <c r="G22" s="175">
        <v>227.41722100000001</v>
      </c>
      <c r="H22" s="175">
        <v>221.12035700000001</v>
      </c>
      <c r="I22" s="175">
        <v>228.36064500000001</v>
      </c>
      <c r="J22" s="175">
        <v>231.05220800000001</v>
      </c>
      <c r="K22" s="175">
        <v>251.14103800000001</v>
      </c>
      <c r="L22" s="175">
        <v>261.14103799999998</v>
      </c>
      <c r="M22" s="175">
        <v>291.14103799999998</v>
      </c>
      <c r="N22" s="175">
        <v>285.63223799999997</v>
      </c>
      <c r="O22" s="10"/>
      <c r="P22" s="10"/>
      <c r="Q22" s="10"/>
    </row>
    <row r="23" spans="1:17" ht="13" outlineLevel="4" x14ac:dyDescent="0.3">
      <c r="A23" s="174" t="s">
        <v>72</v>
      </c>
      <c r="B23" s="175">
        <v>12.097744</v>
      </c>
      <c r="C23" s="175">
        <v>12.097744</v>
      </c>
      <c r="D23" s="175">
        <v>12.097744</v>
      </c>
      <c r="E23" s="175">
        <v>12.097744</v>
      </c>
      <c r="F23" s="175">
        <v>12.097744</v>
      </c>
      <c r="G23" s="175">
        <v>12.097744</v>
      </c>
      <c r="H23" s="175">
        <v>12.097744</v>
      </c>
      <c r="I23" s="175">
        <v>12.097744</v>
      </c>
      <c r="J23" s="175">
        <v>12.097744</v>
      </c>
      <c r="K23" s="175">
        <v>12.097744</v>
      </c>
      <c r="L23" s="175">
        <v>12.097744</v>
      </c>
      <c r="M23" s="175">
        <v>12.097744</v>
      </c>
      <c r="N23" s="175">
        <v>12.097744</v>
      </c>
      <c r="O23" s="10"/>
      <c r="P23" s="10"/>
      <c r="Q23" s="10"/>
    </row>
    <row r="24" spans="1:17" ht="13" outlineLevel="4" x14ac:dyDescent="0.3">
      <c r="A24" s="174" t="s">
        <v>73</v>
      </c>
      <c r="B24" s="175">
        <v>12.097744</v>
      </c>
      <c r="C24" s="175">
        <v>12.097744</v>
      </c>
      <c r="D24" s="175">
        <v>12.097744</v>
      </c>
      <c r="E24" s="175">
        <v>12.097744</v>
      </c>
      <c r="F24" s="175">
        <v>12.097744</v>
      </c>
      <c r="G24" s="175">
        <v>12.097744</v>
      </c>
      <c r="H24" s="175">
        <v>12.097744</v>
      </c>
      <c r="I24" s="175">
        <v>12.097744</v>
      </c>
      <c r="J24" s="175">
        <v>12.097744</v>
      </c>
      <c r="K24" s="175">
        <v>12.097744</v>
      </c>
      <c r="L24" s="175">
        <v>12.097744</v>
      </c>
      <c r="M24" s="175">
        <v>12.097744</v>
      </c>
      <c r="N24" s="175">
        <v>12.097744</v>
      </c>
      <c r="O24" s="10"/>
      <c r="P24" s="10"/>
      <c r="Q24" s="10"/>
    </row>
    <row r="25" spans="1:17" ht="13" outlineLevel="4" x14ac:dyDescent="0.3">
      <c r="A25" s="174" t="s">
        <v>74</v>
      </c>
      <c r="B25" s="175">
        <v>12.097744</v>
      </c>
      <c r="C25" s="175">
        <v>12.097744</v>
      </c>
      <c r="D25" s="175">
        <v>12.097744</v>
      </c>
      <c r="E25" s="175">
        <v>12.097744</v>
      </c>
      <c r="F25" s="175">
        <v>12.097744</v>
      </c>
      <c r="G25" s="175">
        <v>12.097744</v>
      </c>
      <c r="H25" s="175">
        <v>12.097744</v>
      </c>
      <c r="I25" s="175">
        <v>12.097744</v>
      </c>
      <c r="J25" s="175">
        <v>12.097744</v>
      </c>
      <c r="K25" s="175">
        <v>12.097744</v>
      </c>
      <c r="L25" s="175">
        <v>12.097744</v>
      </c>
      <c r="M25" s="175">
        <v>12.097744</v>
      </c>
      <c r="N25" s="175">
        <v>12.097744</v>
      </c>
      <c r="O25" s="10"/>
      <c r="P25" s="10"/>
      <c r="Q25" s="10"/>
    </row>
    <row r="26" spans="1:17" ht="13" outlineLevel="4" x14ac:dyDescent="0.3">
      <c r="A26" s="174" t="s">
        <v>75</v>
      </c>
      <c r="B26" s="175">
        <v>12.097744</v>
      </c>
      <c r="C26" s="175">
        <v>12.097744</v>
      </c>
      <c r="D26" s="175">
        <v>12.097744</v>
      </c>
      <c r="E26" s="175">
        <v>12.097744</v>
      </c>
      <c r="F26" s="175">
        <v>12.097744</v>
      </c>
      <c r="G26" s="175">
        <v>12.097744</v>
      </c>
      <c r="H26" s="175">
        <v>12.097744</v>
      </c>
      <c r="I26" s="175">
        <v>12.097744</v>
      </c>
      <c r="J26" s="175">
        <v>12.097744</v>
      </c>
      <c r="K26" s="175">
        <v>12.097744</v>
      </c>
      <c r="L26" s="175">
        <v>12.097744</v>
      </c>
      <c r="M26" s="175">
        <v>12.097744</v>
      </c>
      <c r="N26" s="175">
        <v>12.097744</v>
      </c>
      <c r="O26" s="10"/>
      <c r="P26" s="10"/>
      <c r="Q26" s="10"/>
    </row>
    <row r="27" spans="1:17" ht="13" outlineLevel="4" x14ac:dyDescent="0.3">
      <c r="A27" s="174" t="s">
        <v>76</v>
      </c>
      <c r="B27" s="175">
        <v>12.097744</v>
      </c>
      <c r="C27" s="175">
        <v>12.097744</v>
      </c>
      <c r="D27" s="175">
        <v>12.097744</v>
      </c>
      <c r="E27" s="175">
        <v>12.097744</v>
      </c>
      <c r="F27" s="175">
        <v>12.097744</v>
      </c>
      <c r="G27" s="175">
        <v>12.097744</v>
      </c>
      <c r="H27" s="175">
        <v>12.097744</v>
      </c>
      <c r="I27" s="175">
        <v>12.097744</v>
      </c>
      <c r="J27" s="175">
        <v>12.097744</v>
      </c>
      <c r="K27" s="175">
        <v>12.097744</v>
      </c>
      <c r="L27" s="175">
        <v>12.097744</v>
      </c>
      <c r="M27" s="175">
        <v>12.097744</v>
      </c>
      <c r="N27" s="175">
        <v>12.097744</v>
      </c>
      <c r="O27" s="10"/>
      <c r="P27" s="10"/>
      <c r="Q27" s="10"/>
    </row>
    <row r="28" spans="1:17" ht="13" outlineLevel="4" x14ac:dyDescent="0.3">
      <c r="A28" s="174" t="s">
        <v>77</v>
      </c>
      <c r="B28" s="175">
        <v>12.097744</v>
      </c>
      <c r="C28" s="175">
        <v>12.097744</v>
      </c>
      <c r="D28" s="175">
        <v>12.097744</v>
      </c>
      <c r="E28" s="175">
        <v>12.097744</v>
      </c>
      <c r="F28" s="175">
        <v>12.097744</v>
      </c>
      <c r="G28" s="175">
        <v>12.097744</v>
      </c>
      <c r="H28" s="175">
        <v>12.097744</v>
      </c>
      <c r="I28" s="175">
        <v>12.097744</v>
      </c>
      <c r="J28" s="175">
        <v>12.097744</v>
      </c>
      <c r="K28" s="175">
        <v>12.097744</v>
      </c>
      <c r="L28" s="175">
        <v>12.097744</v>
      </c>
      <c r="M28" s="175">
        <v>12.097744</v>
      </c>
      <c r="N28" s="175">
        <v>12.097744</v>
      </c>
      <c r="O28" s="10"/>
      <c r="P28" s="10"/>
      <c r="Q28" s="10"/>
    </row>
    <row r="29" spans="1:17" ht="13" outlineLevel="4" x14ac:dyDescent="0.3">
      <c r="A29" s="174" t="s">
        <v>78</v>
      </c>
      <c r="B29" s="175">
        <v>12.097744</v>
      </c>
      <c r="C29" s="175">
        <v>12.097744</v>
      </c>
      <c r="D29" s="175">
        <v>12.097744</v>
      </c>
      <c r="E29" s="175">
        <v>12.097744</v>
      </c>
      <c r="F29" s="175">
        <v>12.097744</v>
      </c>
      <c r="G29" s="175">
        <v>12.097744</v>
      </c>
      <c r="H29" s="175">
        <v>12.097744</v>
      </c>
      <c r="I29" s="175">
        <v>12.097744</v>
      </c>
      <c r="J29" s="175">
        <v>12.097744</v>
      </c>
      <c r="K29" s="175">
        <v>12.097744</v>
      </c>
      <c r="L29" s="175">
        <v>12.097744</v>
      </c>
      <c r="M29" s="175">
        <v>12.097744</v>
      </c>
      <c r="N29" s="175">
        <v>12.097744</v>
      </c>
      <c r="O29" s="10"/>
      <c r="P29" s="10"/>
      <c r="Q29" s="10"/>
    </row>
    <row r="30" spans="1:17" ht="13" outlineLevel="4" x14ac:dyDescent="0.3">
      <c r="A30" s="174" t="s">
        <v>79</v>
      </c>
      <c r="B30" s="175">
        <v>12.097744</v>
      </c>
      <c r="C30" s="175">
        <v>12.097744</v>
      </c>
      <c r="D30" s="175">
        <v>12.097744</v>
      </c>
      <c r="E30" s="175">
        <v>12.097744</v>
      </c>
      <c r="F30" s="175">
        <v>12.097744</v>
      </c>
      <c r="G30" s="175">
        <v>12.097744</v>
      </c>
      <c r="H30" s="175">
        <v>12.097744</v>
      </c>
      <c r="I30" s="175">
        <v>12.097744</v>
      </c>
      <c r="J30" s="175">
        <v>12.097744</v>
      </c>
      <c r="K30" s="175">
        <v>12.097744</v>
      </c>
      <c r="L30" s="175">
        <v>12.097744</v>
      </c>
      <c r="M30" s="175">
        <v>12.097744</v>
      </c>
      <c r="N30" s="175">
        <v>12.097744</v>
      </c>
      <c r="O30" s="10"/>
      <c r="P30" s="10"/>
      <c r="Q30" s="10"/>
    </row>
    <row r="31" spans="1:17" ht="13" outlineLevel="4" x14ac:dyDescent="0.3">
      <c r="A31" s="174" t="s">
        <v>80</v>
      </c>
      <c r="B31" s="175">
        <v>12.097744</v>
      </c>
      <c r="C31" s="175">
        <v>12.097744</v>
      </c>
      <c r="D31" s="175">
        <v>12.097744</v>
      </c>
      <c r="E31" s="175">
        <v>12.097744</v>
      </c>
      <c r="F31" s="175">
        <v>12.097744</v>
      </c>
      <c r="G31" s="175">
        <v>12.097744</v>
      </c>
      <c r="H31" s="175">
        <v>12.097744</v>
      </c>
      <c r="I31" s="175">
        <v>12.097744</v>
      </c>
      <c r="J31" s="175">
        <v>12.097744</v>
      </c>
      <c r="K31" s="175">
        <v>12.097744</v>
      </c>
      <c r="L31" s="175">
        <v>12.097744</v>
      </c>
      <c r="M31" s="175">
        <v>12.097744</v>
      </c>
      <c r="N31" s="175">
        <v>12.097744</v>
      </c>
      <c r="O31" s="10"/>
      <c r="P31" s="10"/>
      <c r="Q31" s="10"/>
    </row>
    <row r="32" spans="1:17" ht="13" outlineLevel="4" x14ac:dyDescent="0.3">
      <c r="A32" s="174" t="s">
        <v>81</v>
      </c>
      <c r="B32" s="175">
        <v>12.097744</v>
      </c>
      <c r="C32" s="175">
        <v>12.097744</v>
      </c>
      <c r="D32" s="175">
        <v>12.097744</v>
      </c>
      <c r="E32" s="175">
        <v>12.097744</v>
      </c>
      <c r="F32" s="175">
        <v>12.097744</v>
      </c>
      <c r="G32" s="175">
        <v>12.097744</v>
      </c>
      <c r="H32" s="175">
        <v>12.097744</v>
      </c>
      <c r="I32" s="175">
        <v>12.097744</v>
      </c>
      <c r="J32" s="175">
        <v>12.097744</v>
      </c>
      <c r="K32" s="175">
        <v>12.097744</v>
      </c>
      <c r="L32" s="175">
        <v>12.097744</v>
      </c>
      <c r="M32" s="175">
        <v>12.097744</v>
      </c>
      <c r="N32" s="175">
        <v>12.097744</v>
      </c>
      <c r="O32" s="10"/>
      <c r="P32" s="10"/>
      <c r="Q32" s="10"/>
    </row>
    <row r="33" spans="1:17" ht="13" outlineLevel="4" x14ac:dyDescent="0.3">
      <c r="A33" s="174" t="s">
        <v>83</v>
      </c>
      <c r="B33" s="175">
        <v>126.120059</v>
      </c>
      <c r="C33" s="175">
        <v>129.381271</v>
      </c>
      <c r="D33" s="175">
        <v>131.93364500000001</v>
      </c>
      <c r="E33" s="175">
        <v>138.14561599999999</v>
      </c>
      <c r="F33" s="175">
        <v>147.22369699999999</v>
      </c>
      <c r="G33" s="175">
        <v>161.22369699999999</v>
      </c>
      <c r="H33" s="175">
        <v>169.22369699999999</v>
      </c>
      <c r="I33" s="175">
        <v>158.991153</v>
      </c>
      <c r="J33" s="175">
        <v>180.991153</v>
      </c>
      <c r="K33" s="175">
        <v>200.710341</v>
      </c>
      <c r="L33" s="175">
        <v>213.471464</v>
      </c>
      <c r="M33" s="175">
        <v>254.55799400000001</v>
      </c>
      <c r="N33" s="175">
        <v>284.55799400000001</v>
      </c>
      <c r="O33" s="10"/>
      <c r="P33" s="10"/>
      <c r="Q33" s="10"/>
    </row>
    <row r="34" spans="1:17" ht="13" outlineLevel="4" x14ac:dyDescent="0.3">
      <c r="A34" s="174" t="s">
        <v>84</v>
      </c>
      <c r="B34" s="175">
        <v>257.09775100000002</v>
      </c>
      <c r="C34" s="175">
        <v>257.09775100000002</v>
      </c>
      <c r="D34" s="175">
        <v>257.09775100000002</v>
      </c>
      <c r="E34" s="175">
        <v>257.09775100000002</v>
      </c>
      <c r="F34" s="175">
        <v>257.09775100000002</v>
      </c>
      <c r="G34" s="175">
        <v>257.09775100000002</v>
      </c>
      <c r="H34" s="175">
        <v>257.09775100000002</v>
      </c>
      <c r="I34" s="175">
        <v>257.09775100000002</v>
      </c>
      <c r="J34" s="175">
        <v>257.09775100000002</v>
      </c>
      <c r="K34" s="175">
        <v>257.09775100000002</v>
      </c>
      <c r="L34" s="175">
        <v>257.09775100000002</v>
      </c>
      <c r="M34" s="175">
        <v>257.09775100000002</v>
      </c>
      <c r="N34" s="175">
        <v>257.09775100000002</v>
      </c>
      <c r="O34" s="10"/>
      <c r="P34" s="10"/>
      <c r="Q34" s="10"/>
    </row>
    <row r="35" spans="1:17" ht="13" outlineLevel="4" x14ac:dyDescent="0.3">
      <c r="A35" s="174" t="s">
        <v>85</v>
      </c>
      <c r="B35" s="175">
        <v>22.5396</v>
      </c>
      <c r="C35" s="175">
        <v>22.5396</v>
      </c>
      <c r="D35" s="175">
        <v>22.5396</v>
      </c>
      <c r="E35" s="175">
        <v>22.5396</v>
      </c>
      <c r="F35" s="175">
        <v>22.5396</v>
      </c>
      <c r="G35" s="175">
        <v>0</v>
      </c>
      <c r="H35" s="175">
        <v>6.4062809999999999</v>
      </c>
      <c r="I35" s="175">
        <v>8.7784899999999997</v>
      </c>
      <c r="J35" s="175">
        <v>8.7784899999999997</v>
      </c>
      <c r="K35" s="175">
        <v>11.191801</v>
      </c>
      <c r="L35" s="175">
        <v>11.191801</v>
      </c>
      <c r="M35" s="175">
        <v>11.191801</v>
      </c>
      <c r="N35" s="175">
        <v>16.191801000000002</v>
      </c>
      <c r="O35" s="10"/>
      <c r="P35" s="10"/>
      <c r="Q35" s="10"/>
    </row>
    <row r="36" spans="1:17" ht="13" outlineLevel="4" x14ac:dyDescent="0.3">
      <c r="A36" s="174" t="s">
        <v>86</v>
      </c>
      <c r="B36" s="175">
        <v>41.069235999999997</v>
      </c>
      <c r="C36" s="175">
        <v>41.069235999999997</v>
      </c>
      <c r="D36" s="175">
        <v>41.069235999999997</v>
      </c>
      <c r="E36" s="175">
        <v>41.069235999999997</v>
      </c>
      <c r="F36" s="175">
        <v>41.069235999999997</v>
      </c>
      <c r="G36" s="175">
        <v>41.069235999999997</v>
      </c>
      <c r="H36" s="175">
        <v>41.069235999999997</v>
      </c>
      <c r="I36" s="175">
        <v>41.069235999999997</v>
      </c>
      <c r="J36" s="175">
        <v>41.069235999999997</v>
      </c>
      <c r="K36" s="175">
        <v>41.069235999999997</v>
      </c>
      <c r="L36" s="175">
        <v>41.069235999999997</v>
      </c>
      <c r="M36" s="175">
        <v>41.069235999999997</v>
      </c>
      <c r="N36" s="175">
        <v>46.069235999999997</v>
      </c>
      <c r="O36" s="10"/>
      <c r="P36" s="10"/>
      <c r="Q36" s="10"/>
    </row>
    <row r="37" spans="1:17" ht="13" outlineLevel="4" x14ac:dyDescent="0.3">
      <c r="A37" s="174" t="s">
        <v>88</v>
      </c>
      <c r="B37" s="175">
        <v>41.080407000000001</v>
      </c>
      <c r="C37" s="175">
        <v>41.080407000000001</v>
      </c>
      <c r="D37" s="175">
        <v>41.080407000000001</v>
      </c>
      <c r="E37" s="175">
        <v>41.080407000000001</v>
      </c>
      <c r="F37" s="175">
        <v>41.080407000000001</v>
      </c>
      <c r="G37" s="175">
        <v>41.080407000000001</v>
      </c>
      <c r="H37" s="175">
        <v>41.080407000000001</v>
      </c>
      <c r="I37" s="175">
        <v>41.080407000000001</v>
      </c>
      <c r="J37" s="175">
        <v>41.080407000000001</v>
      </c>
      <c r="K37" s="175">
        <v>41.080407000000001</v>
      </c>
      <c r="L37" s="175">
        <v>41.080407000000001</v>
      </c>
      <c r="M37" s="175">
        <v>41.080407000000001</v>
      </c>
      <c r="N37" s="175">
        <v>41.080407000000001</v>
      </c>
      <c r="O37" s="10"/>
      <c r="P37" s="10"/>
      <c r="Q37" s="10"/>
    </row>
    <row r="38" spans="1:17" ht="13" outlineLevel="4" x14ac:dyDescent="0.3">
      <c r="A38" s="174" t="s">
        <v>89</v>
      </c>
      <c r="B38" s="175">
        <v>17.781690999999999</v>
      </c>
      <c r="C38" s="175">
        <v>17.781690999999999</v>
      </c>
      <c r="D38" s="175">
        <v>17.781690999999999</v>
      </c>
      <c r="E38" s="175">
        <v>17.781690999999999</v>
      </c>
      <c r="F38" s="175">
        <v>17.781690999999999</v>
      </c>
      <c r="G38" s="175">
        <v>17.781690999999999</v>
      </c>
      <c r="H38" s="175">
        <v>17.781690999999999</v>
      </c>
      <c r="I38" s="175">
        <v>17.781690999999999</v>
      </c>
      <c r="J38" s="175">
        <v>17.781690999999999</v>
      </c>
      <c r="K38" s="175">
        <v>17.781690999999999</v>
      </c>
      <c r="L38" s="175">
        <v>17.781690999999999</v>
      </c>
      <c r="M38" s="175">
        <v>17.781690999999999</v>
      </c>
      <c r="N38" s="175">
        <v>17.781690999999999</v>
      </c>
      <c r="O38" s="10"/>
      <c r="P38" s="10"/>
      <c r="Q38" s="10"/>
    </row>
    <row r="39" spans="1:17" ht="13" outlineLevel="4" x14ac:dyDescent="0.3">
      <c r="A39" s="174" t="s">
        <v>90</v>
      </c>
      <c r="B39" s="175">
        <v>2.5</v>
      </c>
      <c r="C39" s="175">
        <v>2.5</v>
      </c>
      <c r="D39" s="175">
        <v>2.5</v>
      </c>
      <c r="E39" s="175">
        <v>2.5</v>
      </c>
      <c r="F39" s="175">
        <v>2.5</v>
      </c>
      <c r="G39" s="175">
        <v>2.5</v>
      </c>
      <c r="H39" s="175">
        <v>2.5</v>
      </c>
      <c r="I39" s="175">
        <v>2.5</v>
      </c>
      <c r="J39" s="175">
        <v>2.5</v>
      </c>
      <c r="K39" s="175">
        <v>2.5</v>
      </c>
      <c r="L39" s="175">
        <v>2.5</v>
      </c>
      <c r="M39" s="175">
        <v>2.5</v>
      </c>
      <c r="N39" s="175">
        <v>2.5</v>
      </c>
      <c r="O39" s="10"/>
      <c r="P39" s="10"/>
      <c r="Q39" s="10"/>
    </row>
    <row r="40" spans="1:17" ht="13" outlineLevel="4" x14ac:dyDescent="0.3">
      <c r="A40" s="174" t="s">
        <v>91</v>
      </c>
      <c r="B40" s="175">
        <v>45.625538052300001</v>
      </c>
      <c r="C40" s="175">
        <v>45.233548435899998</v>
      </c>
      <c r="D40" s="175">
        <v>15</v>
      </c>
      <c r="E40" s="175">
        <v>15</v>
      </c>
      <c r="F40" s="175">
        <v>15</v>
      </c>
      <c r="G40" s="175">
        <v>15</v>
      </c>
      <c r="H40" s="175">
        <v>0</v>
      </c>
      <c r="I40" s="175">
        <v>0</v>
      </c>
      <c r="J40" s="175">
        <v>0</v>
      </c>
      <c r="K40" s="175">
        <v>0</v>
      </c>
      <c r="L40" s="175">
        <v>0</v>
      </c>
      <c r="M40" s="175">
        <v>0</v>
      </c>
      <c r="N40" s="175">
        <v>0</v>
      </c>
      <c r="O40" s="10"/>
      <c r="P40" s="10"/>
      <c r="Q40" s="10"/>
    </row>
    <row r="41" spans="1:17" ht="13" outlineLevel="4" x14ac:dyDescent="0.3">
      <c r="A41" s="174" t="s">
        <v>92</v>
      </c>
      <c r="B41" s="175">
        <v>13</v>
      </c>
      <c r="C41" s="175">
        <v>10.5</v>
      </c>
      <c r="D41" s="175">
        <v>5.5</v>
      </c>
      <c r="E41" s="175">
        <v>5.5</v>
      </c>
      <c r="F41" s="175">
        <v>5.5</v>
      </c>
      <c r="G41" s="175">
        <v>5.5</v>
      </c>
      <c r="H41" s="175">
        <v>5.5</v>
      </c>
      <c r="I41" s="175">
        <v>5.5</v>
      </c>
      <c r="J41" s="175">
        <v>5.5</v>
      </c>
      <c r="K41" s="175">
        <v>5.5</v>
      </c>
      <c r="L41" s="175">
        <v>5.5</v>
      </c>
      <c r="M41" s="175">
        <v>5.5</v>
      </c>
      <c r="N41" s="175">
        <v>5.5</v>
      </c>
      <c r="O41" s="10"/>
      <c r="P41" s="10"/>
      <c r="Q41" s="10"/>
    </row>
    <row r="42" spans="1:17" ht="13" outlineLevel="3" x14ac:dyDescent="0.3">
      <c r="A42" s="176" t="s">
        <v>93</v>
      </c>
      <c r="B42" s="175">
        <f t="shared" ref="B42:N42" si="4">SUM(B$43:B$43)</f>
        <v>1.5870302702600001</v>
      </c>
      <c r="C42" s="175">
        <f t="shared" si="4"/>
        <v>1.5870302702600001</v>
      </c>
      <c r="D42" s="175">
        <f t="shared" si="4"/>
        <v>1.5870302702600001</v>
      </c>
      <c r="E42" s="175">
        <f t="shared" si="4"/>
        <v>1.5870302702600001</v>
      </c>
      <c r="F42" s="175">
        <f t="shared" si="4"/>
        <v>1.5539671396400001</v>
      </c>
      <c r="G42" s="175">
        <f t="shared" si="4"/>
        <v>1.5539671396400001</v>
      </c>
      <c r="H42" s="175">
        <f t="shared" si="4"/>
        <v>1.5539671396400001</v>
      </c>
      <c r="I42" s="175">
        <f t="shared" si="4"/>
        <v>1.5209040090199999</v>
      </c>
      <c r="J42" s="175">
        <f t="shared" si="4"/>
        <v>1.5209040090199999</v>
      </c>
      <c r="K42" s="175">
        <f t="shared" si="4"/>
        <v>1.4878408783999999</v>
      </c>
      <c r="L42" s="175">
        <f t="shared" si="4"/>
        <v>1.4878408783999999</v>
      </c>
      <c r="M42" s="175">
        <f t="shared" si="4"/>
        <v>1.4878408783999999</v>
      </c>
      <c r="N42" s="175">
        <f t="shared" si="4"/>
        <v>1.4547777477799999</v>
      </c>
      <c r="O42" s="10"/>
      <c r="P42" s="10"/>
      <c r="Q42" s="10"/>
    </row>
    <row r="43" spans="1:17" ht="13" outlineLevel="4" x14ac:dyDescent="0.3">
      <c r="A43" s="174" t="s">
        <v>94</v>
      </c>
      <c r="B43" s="175">
        <v>1.5870302702600001</v>
      </c>
      <c r="C43" s="175">
        <v>1.5870302702600001</v>
      </c>
      <c r="D43" s="175">
        <v>1.5870302702600001</v>
      </c>
      <c r="E43" s="175">
        <v>1.5870302702600001</v>
      </c>
      <c r="F43" s="175">
        <v>1.5539671396400001</v>
      </c>
      <c r="G43" s="175">
        <v>1.5539671396400001</v>
      </c>
      <c r="H43" s="175">
        <v>1.5539671396400001</v>
      </c>
      <c r="I43" s="175">
        <v>1.5209040090199999</v>
      </c>
      <c r="J43" s="175">
        <v>1.5209040090199999</v>
      </c>
      <c r="K43" s="175">
        <v>1.4878408783999999</v>
      </c>
      <c r="L43" s="175">
        <v>1.4878408783999999</v>
      </c>
      <c r="M43" s="175">
        <v>1.4878408783999999</v>
      </c>
      <c r="N43" s="175">
        <v>1.4547777477799999</v>
      </c>
      <c r="O43" s="10"/>
      <c r="P43" s="10"/>
      <c r="Q43" s="10"/>
    </row>
    <row r="44" spans="1:17" ht="14.5" outlineLevel="2" x14ac:dyDescent="0.35">
      <c r="A44" s="177" t="s">
        <v>95</v>
      </c>
      <c r="B44" s="178">
        <f t="shared" ref="B44:N44" si="5">B$45+B$55+B$66+B$68+B$75+B$83+B$85</f>
        <v>3600.3931568676699</v>
      </c>
      <c r="C44" s="178">
        <f t="shared" si="5"/>
        <v>3551.6978793312005</v>
      </c>
      <c r="D44" s="178">
        <f t="shared" si="5"/>
        <v>3568.8610702126493</v>
      </c>
      <c r="E44" s="178">
        <f t="shared" si="5"/>
        <v>3994.7584677527793</v>
      </c>
      <c r="F44" s="178">
        <f t="shared" si="5"/>
        <v>4056.0631019454299</v>
      </c>
      <c r="G44" s="178">
        <f t="shared" si="5"/>
        <v>4161.4610710117195</v>
      </c>
      <c r="H44" s="178">
        <f t="shared" si="5"/>
        <v>4207.56872677908</v>
      </c>
      <c r="I44" s="178">
        <f t="shared" si="5"/>
        <v>4378.7884878476398</v>
      </c>
      <c r="J44" s="178">
        <f t="shared" si="5"/>
        <v>4399.3942844968706</v>
      </c>
      <c r="K44" s="178">
        <f t="shared" si="5"/>
        <v>4394.21947063073</v>
      </c>
      <c r="L44" s="178">
        <f t="shared" si="5"/>
        <v>4372.5560741647205</v>
      </c>
      <c r="M44" s="178">
        <f t="shared" si="5"/>
        <v>4558.4484737939001</v>
      </c>
      <c r="N44" s="178">
        <f t="shared" si="5"/>
        <v>4829.2907880136017</v>
      </c>
      <c r="O44" s="10"/>
      <c r="P44" s="10"/>
      <c r="Q44" s="10"/>
    </row>
    <row r="45" spans="1:17" ht="13" outlineLevel="3" x14ac:dyDescent="0.3">
      <c r="A45" s="176" t="s">
        <v>96</v>
      </c>
      <c r="B45" s="175">
        <f t="shared" ref="B45:N45" si="6">SUM(B$46:B$54)</f>
        <v>2252.5797122582303</v>
      </c>
      <c r="C45" s="175">
        <f t="shared" si="6"/>
        <v>2217.7179727264302</v>
      </c>
      <c r="D45" s="175">
        <f t="shared" si="6"/>
        <v>2227.5529111010201</v>
      </c>
      <c r="E45" s="175">
        <f t="shared" si="6"/>
        <v>2554.5693694696997</v>
      </c>
      <c r="F45" s="175">
        <f t="shared" si="6"/>
        <v>2604.3797493532197</v>
      </c>
      <c r="G45" s="175">
        <f t="shared" si="6"/>
        <v>2677.2195717945101</v>
      </c>
      <c r="H45" s="175">
        <f t="shared" si="6"/>
        <v>2727.8843560546702</v>
      </c>
      <c r="I45" s="175">
        <f t="shared" si="6"/>
        <v>2877.0260684258601</v>
      </c>
      <c r="J45" s="175">
        <f t="shared" si="6"/>
        <v>3063.7204347703901</v>
      </c>
      <c r="K45" s="175">
        <f t="shared" si="6"/>
        <v>3057.8480453214697</v>
      </c>
      <c r="L45" s="175">
        <f t="shared" si="6"/>
        <v>3037.1917995201202</v>
      </c>
      <c r="M45" s="175">
        <f t="shared" si="6"/>
        <v>3214.5622385348406</v>
      </c>
      <c r="N45" s="175">
        <f t="shared" si="6"/>
        <v>3481.9848215421307</v>
      </c>
      <c r="O45" s="10"/>
      <c r="P45" s="10"/>
      <c r="Q45" s="10"/>
    </row>
    <row r="46" spans="1:17" ht="13" outlineLevel="4" x14ac:dyDescent="0.3">
      <c r="A46" s="174" t="s">
        <v>97</v>
      </c>
      <c r="B46" s="175">
        <v>0.25340819184000002</v>
      </c>
      <c r="C46" s="175">
        <v>0.24666351221999999</v>
      </c>
      <c r="D46" s="175">
        <v>0.24793812099000001</v>
      </c>
      <c r="E46" s="175">
        <v>0.24164522787000001</v>
      </c>
      <c r="F46" s="175">
        <v>0.39962747907000001</v>
      </c>
      <c r="G46" s="175">
        <v>0.41203931583999998</v>
      </c>
      <c r="H46" s="175">
        <v>0.40769108239000001</v>
      </c>
      <c r="I46" s="175">
        <v>0.41769089088</v>
      </c>
      <c r="J46" s="175">
        <v>0.42978770641000003</v>
      </c>
      <c r="K46" s="175">
        <v>0.40939091017000001</v>
      </c>
      <c r="L46" s="175">
        <v>0.39763945492000002</v>
      </c>
      <c r="M46" s="175">
        <v>0.39075838144000002</v>
      </c>
      <c r="N46" s="175">
        <v>0.48186126030999998</v>
      </c>
      <c r="O46" s="10"/>
      <c r="P46" s="10"/>
      <c r="Q46" s="10"/>
    </row>
    <row r="47" spans="1:17" ht="13" outlineLevel="4" x14ac:dyDescent="0.3">
      <c r="A47" s="174" t="s">
        <v>98</v>
      </c>
      <c r="B47" s="175">
        <v>0</v>
      </c>
      <c r="C47" s="175">
        <v>0</v>
      </c>
      <c r="D47" s="175">
        <v>0</v>
      </c>
      <c r="E47" s="175">
        <v>0</v>
      </c>
      <c r="F47" s="175">
        <v>0</v>
      </c>
      <c r="G47" s="175">
        <v>0</v>
      </c>
      <c r="H47" s="175">
        <v>0</v>
      </c>
      <c r="I47" s="175">
        <v>0</v>
      </c>
      <c r="J47" s="175">
        <v>3.1993149999999999</v>
      </c>
      <c r="K47" s="175">
        <v>3.6763279999999998</v>
      </c>
      <c r="L47" s="175">
        <v>3.5708000000000002</v>
      </c>
      <c r="M47" s="175">
        <v>5.0793159677700004</v>
      </c>
      <c r="N47" s="175">
        <v>5.08672720701</v>
      </c>
      <c r="O47" s="10"/>
      <c r="P47" s="10"/>
      <c r="Q47" s="10"/>
    </row>
    <row r="48" spans="1:17" ht="13" outlineLevel="4" x14ac:dyDescent="0.3">
      <c r="A48" s="174" t="s">
        <v>99</v>
      </c>
      <c r="B48" s="175">
        <v>7.3589337960099996</v>
      </c>
      <c r="C48" s="175">
        <v>7.1630693671500003</v>
      </c>
      <c r="D48" s="175">
        <v>7.2000838039100001</v>
      </c>
      <c r="E48" s="175">
        <v>7.3458738626000004</v>
      </c>
      <c r="F48" s="175">
        <v>6.9813972608499997</v>
      </c>
      <c r="G48" s="175">
        <v>6.0675658653299998</v>
      </c>
      <c r="H48" s="175">
        <v>5.8527493243800004</v>
      </c>
      <c r="I48" s="175">
        <v>5.9963050088100003</v>
      </c>
      <c r="J48" s="175">
        <v>6.1745186743899998</v>
      </c>
      <c r="K48" s="175">
        <v>6.16398545843</v>
      </c>
      <c r="L48" s="175">
        <v>5.58052794481</v>
      </c>
      <c r="M48" s="175">
        <v>4.3521206646600001</v>
      </c>
      <c r="N48" s="175">
        <v>4.2521896911699999</v>
      </c>
      <c r="O48" s="10"/>
      <c r="P48" s="10"/>
      <c r="Q48" s="10"/>
    </row>
    <row r="49" spans="1:17" ht="13" outlineLevel="4" x14ac:dyDescent="0.3">
      <c r="A49" s="174" t="s">
        <v>100</v>
      </c>
      <c r="B49" s="175">
        <v>115.07812630904</v>
      </c>
      <c r="C49" s="175">
        <v>112.0152218031</v>
      </c>
      <c r="D49" s="175">
        <v>112.12524442188</v>
      </c>
      <c r="E49" s="175">
        <v>114.99705868738</v>
      </c>
      <c r="F49" s="175">
        <v>115.26546710188001</v>
      </c>
      <c r="G49" s="175">
        <v>118.23262721198</v>
      </c>
      <c r="H49" s="175">
        <v>116.95879096132001</v>
      </c>
      <c r="I49" s="175">
        <v>119.82754517503</v>
      </c>
      <c r="J49" s="175">
        <v>122.77904939731</v>
      </c>
      <c r="K49" s="175">
        <v>123.38216719278</v>
      </c>
      <c r="L49" s="175">
        <v>120.08228840181999</v>
      </c>
      <c r="M49" s="175">
        <v>118.26775862124001</v>
      </c>
      <c r="N49" s="175">
        <v>124.11142454661</v>
      </c>
      <c r="O49" s="10"/>
      <c r="P49" s="10"/>
      <c r="Q49" s="10"/>
    </row>
    <row r="50" spans="1:17" ht="13" outlineLevel="4" x14ac:dyDescent="0.3">
      <c r="A50" s="174" t="s">
        <v>101</v>
      </c>
      <c r="B50" s="175">
        <v>1249.7759189999999</v>
      </c>
      <c r="C50" s="175">
        <v>1216.5120449999999</v>
      </c>
      <c r="D50" s="175">
        <v>1222.7982480000001</v>
      </c>
      <c r="E50" s="175">
        <v>1445.1383699999999</v>
      </c>
      <c r="F50" s="175">
        <v>1487.8269720000001</v>
      </c>
      <c r="G50" s="175">
        <v>1534.0366710000001</v>
      </c>
      <c r="H50" s="175">
        <v>1599.7884300000001</v>
      </c>
      <c r="I50" s="175">
        <v>1639.0278900000001</v>
      </c>
      <c r="J50" s="175">
        <v>1808.30278648276</v>
      </c>
      <c r="K50" s="175">
        <v>1818.1782336598601</v>
      </c>
      <c r="L50" s="175">
        <v>1765.9879196722</v>
      </c>
      <c r="M50" s="175">
        <v>1735.4278419494501</v>
      </c>
      <c r="N50" s="175">
        <v>1850.2552231591901</v>
      </c>
      <c r="O50" s="10"/>
      <c r="P50" s="10"/>
      <c r="Q50" s="10"/>
    </row>
    <row r="51" spans="1:17" ht="13" outlineLevel="4" x14ac:dyDescent="0.3">
      <c r="A51" s="174" t="s">
        <v>102</v>
      </c>
      <c r="B51" s="175">
        <v>39.914098248590001</v>
      </c>
      <c r="C51" s="175">
        <v>38.851749778929999</v>
      </c>
      <c r="D51" s="175">
        <v>39.056641947899998</v>
      </c>
      <c r="E51" s="175">
        <v>40.068788608479998</v>
      </c>
      <c r="F51" s="175">
        <v>40.191925868070001</v>
      </c>
      <c r="G51" s="175">
        <v>41.440227472719997</v>
      </c>
      <c r="H51" s="175">
        <v>41.002910507800003</v>
      </c>
      <c r="I51" s="175">
        <v>42.008626036549998</v>
      </c>
      <c r="J51" s="175">
        <v>43.225244859359996</v>
      </c>
      <c r="K51" s="175">
        <v>43.47674262796</v>
      </c>
      <c r="L51" s="175">
        <v>42.22923985205</v>
      </c>
      <c r="M51" s="175">
        <v>241.22013106074999</v>
      </c>
      <c r="N51" s="175">
        <v>243.40981073539001</v>
      </c>
      <c r="O51" s="10"/>
      <c r="P51" s="10"/>
      <c r="Q51" s="10"/>
    </row>
    <row r="52" spans="1:17" ht="13" outlineLevel="4" x14ac:dyDescent="0.3">
      <c r="A52" s="174" t="s">
        <v>103</v>
      </c>
      <c r="B52" s="175">
        <v>455.94914315625999</v>
      </c>
      <c r="C52" s="175">
        <v>463.07748568018002</v>
      </c>
      <c r="D52" s="175">
        <v>463.59309126050999</v>
      </c>
      <c r="E52" s="175">
        <v>538.64796394820996</v>
      </c>
      <c r="F52" s="175">
        <v>542.75798086040004</v>
      </c>
      <c r="G52" s="175">
        <v>555.68838130433005</v>
      </c>
      <c r="H52" s="175">
        <v>554.88630954447001</v>
      </c>
      <c r="I52" s="175">
        <v>560.67528700880996</v>
      </c>
      <c r="J52" s="175">
        <v>561.60006382216</v>
      </c>
      <c r="K52" s="175">
        <v>560.49132206960996</v>
      </c>
      <c r="L52" s="175">
        <v>559.04040240173003</v>
      </c>
      <c r="M52" s="175">
        <v>571.29206149959998</v>
      </c>
      <c r="N52" s="175">
        <v>679.98849281046</v>
      </c>
      <c r="O52" s="10"/>
      <c r="P52" s="10"/>
      <c r="Q52" s="10"/>
    </row>
    <row r="53" spans="1:17" ht="13" outlineLevel="4" x14ac:dyDescent="0.3">
      <c r="A53" s="174" t="s">
        <v>104</v>
      </c>
      <c r="B53" s="175">
        <v>379.91330392216003</v>
      </c>
      <c r="C53" s="175">
        <v>375.50740571282</v>
      </c>
      <c r="D53" s="175">
        <v>378.14912409018001</v>
      </c>
      <c r="E53" s="175">
        <v>403.60706530581001</v>
      </c>
      <c r="F53" s="175">
        <v>406.32428882629</v>
      </c>
      <c r="G53" s="175">
        <v>416.60499181606002</v>
      </c>
      <c r="H53" s="175">
        <v>404.40933732658999</v>
      </c>
      <c r="I53" s="175">
        <v>504.39578580952002</v>
      </c>
      <c r="J53" s="175">
        <v>513.30644428154994</v>
      </c>
      <c r="K53" s="175">
        <v>497.35215913794002</v>
      </c>
      <c r="L53" s="175">
        <v>535.50911588557994</v>
      </c>
      <c r="M53" s="175">
        <v>533.68084442305997</v>
      </c>
      <c r="N53" s="175">
        <v>569.59844089061005</v>
      </c>
      <c r="O53" s="10"/>
      <c r="P53" s="10"/>
      <c r="Q53" s="10"/>
    </row>
    <row r="54" spans="1:17" ht="13" outlineLevel="4" x14ac:dyDescent="0.3">
      <c r="A54" s="174" t="s">
        <v>105</v>
      </c>
      <c r="B54" s="175">
        <v>4.33677963433</v>
      </c>
      <c r="C54" s="175">
        <v>4.3443318720299997</v>
      </c>
      <c r="D54" s="175">
        <v>4.3825394556499999</v>
      </c>
      <c r="E54" s="175">
        <v>4.5226038293500004</v>
      </c>
      <c r="F54" s="175">
        <v>4.6320899566599998</v>
      </c>
      <c r="G54" s="175">
        <v>4.73706780825</v>
      </c>
      <c r="H54" s="175">
        <v>4.5781373077199996</v>
      </c>
      <c r="I54" s="175">
        <v>4.67693849626</v>
      </c>
      <c r="J54" s="175">
        <v>4.7032245464500004</v>
      </c>
      <c r="K54" s="175">
        <v>4.7177162647199999</v>
      </c>
      <c r="L54" s="175">
        <v>4.7938659070099998</v>
      </c>
      <c r="M54" s="175">
        <v>4.8514059668699998</v>
      </c>
      <c r="N54" s="175">
        <v>4.8006512413799998</v>
      </c>
      <c r="O54" s="10"/>
      <c r="P54" s="10"/>
      <c r="Q54" s="10"/>
    </row>
    <row r="55" spans="1:17" ht="13" outlineLevel="3" x14ac:dyDescent="0.3">
      <c r="A55" s="176" t="s">
        <v>106</v>
      </c>
      <c r="B55" s="175">
        <f t="shared" ref="B55:N55" si="7">SUM(B$56:B$65)</f>
        <v>239.95764692871998</v>
      </c>
      <c r="C55" s="175">
        <f t="shared" si="7"/>
        <v>234.34978612478</v>
      </c>
      <c r="D55" s="175">
        <f t="shared" si="7"/>
        <v>233.80292589438</v>
      </c>
      <c r="E55" s="175">
        <f t="shared" si="7"/>
        <v>297.79472413912004</v>
      </c>
      <c r="F55" s="175">
        <f t="shared" si="7"/>
        <v>298.51711193435005</v>
      </c>
      <c r="G55" s="175">
        <f t="shared" si="7"/>
        <v>304.82322493201002</v>
      </c>
      <c r="H55" s="175">
        <f t="shared" si="7"/>
        <v>303.61214186157002</v>
      </c>
      <c r="I55" s="175">
        <f t="shared" si="7"/>
        <v>307.50867614409998</v>
      </c>
      <c r="J55" s="175">
        <f t="shared" si="7"/>
        <v>318.51823714815998</v>
      </c>
      <c r="K55" s="175">
        <f t="shared" si="7"/>
        <v>318.72142896876005</v>
      </c>
      <c r="L55" s="175">
        <f t="shared" si="7"/>
        <v>320.25828870582995</v>
      </c>
      <c r="M55" s="175">
        <f t="shared" si="7"/>
        <v>324.55032920785993</v>
      </c>
      <c r="N55" s="175">
        <f t="shared" si="7"/>
        <v>320.72300290085008</v>
      </c>
      <c r="O55" s="10"/>
      <c r="P55" s="10"/>
      <c r="Q55" s="10"/>
    </row>
    <row r="56" spans="1:17" ht="13" outlineLevel="4" x14ac:dyDescent="0.3">
      <c r="A56" s="174" t="s">
        <v>107</v>
      </c>
      <c r="B56" s="175">
        <v>0.89084539944999996</v>
      </c>
      <c r="C56" s="175">
        <v>0.88181170095000005</v>
      </c>
      <c r="D56" s="175">
        <v>0.88668956744000005</v>
      </c>
      <c r="E56" s="175">
        <v>0.91061040421999995</v>
      </c>
      <c r="F56" s="175">
        <v>0.91334421414</v>
      </c>
      <c r="G56" s="175">
        <v>0.94572920568999996</v>
      </c>
      <c r="H56" s="175">
        <v>0.94146130216000001</v>
      </c>
      <c r="I56" s="175">
        <v>0.96825925341999997</v>
      </c>
      <c r="J56" s="175">
        <v>0.99763668660000004</v>
      </c>
      <c r="K56" s="175">
        <v>1.01275715409</v>
      </c>
      <c r="L56" s="175">
        <v>0.98158841399999996</v>
      </c>
      <c r="M56" s="175">
        <v>0.96798734221000005</v>
      </c>
      <c r="N56" s="175">
        <v>0.972743951</v>
      </c>
      <c r="O56" s="10"/>
      <c r="P56" s="10"/>
      <c r="Q56" s="10"/>
    </row>
    <row r="57" spans="1:17" ht="13" outlineLevel="4" x14ac:dyDescent="0.3">
      <c r="A57" s="174" t="s">
        <v>108</v>
      </c>
      <c r="B57" s="175">
        <v>8.4415800000000001</v>
      </c>
      <c r="C57" s="175">
        <v>8.2169000000000008</v>
      </c>
      <c r="D57" s="175">
        <v>8.2593599999999991</v>
      </c>
      <c r="E57" s="175">
        <v>8.4733999999999998</v>
      </c>
      <c r="F57" s="175">
        <v>8.4994399999999999</v>
      </c>
      <c r="G57" s="175">
        <v>8.76342</v>
      </c>
      <c r="H57" s="175">
        <v>8.6709399999999999</v>
      </c>
      <c r="I57" s="175">
        <v>8.8836200000000005</v>
      </c>
      <c r="J57" s="175">
        <v>9.1409000000000002</v>
      </c>
      <c r="K57" s="175">
        <v>9.1908200000000004</v>
      </c>
      <c r="L57" s="175">
        <v>8.9269999999999996</v>
      </c>
      <c r="M57" s="175">
        <v>8.7725200000000001</v>
      </c>
      <c r="N57" s="175">
        <v>8.7853200000000005</v>
      </c>
      <c r="O57" s="10"/>
      <c r="P57" s="10"/>
      <c r="Q57" s="10"/>
    </row>
    <row r="58" spans="1:17" ht="13" outlineLevel="4" x14ac:dyDescent="0.3">
      <c r="A58" s="174" t="s">
        <v>109</v>
      </c>
      <c r="B58" s="175">
        <v>139.85243126616001</v>
      </c>
      <c r="C58" s="175">
        <v>137.61768721458</v>
      </c>
      <c r="D58" s="175">
        <v>137.18955454834</v>
      </c>
      <c r="E58" s="175">
        <v>198.91362289788</v>
      </c>
      <c r="F58" s="175">
        <v>200.09456749597001</v>
      </c>
      <c r="G58" s="175">
        <v>203.55292376752001</v>
      </c>
      <c r="H58" s="175">
        <v>203.89777528073</v>
      </c>
      <c r="I58" s="175">
        <v>204.17346600575999</v>
      </c>
      <c r="J58" s="175">
        <v>210.51558712175</v>
      </c>
      <c r="K58" s="175">
        <v>210.17861771522999</v>
      </c>
      <c r="L58" s="175">
        <v>216.18119721623</v>
      </c>
      <c r="M58" s="175">
        <v>216.71730831759999</v>
      </c>
      <c r="N58" s="175">
        <v>213.75542670784</v>
      </c>
      <c r="O58" s="10"/>
      <c r="P58" s="10"/>
      <c r="Q58" s="10"/>
    </row>
    <row r="59" spans="1:17" ht="13" outlineLevel="4" x14ac:dyDescent="0.3">
      <c r="A59" s="174" t="s">
        <v>110</v>
      </c>
      <c r="B59" s="175">
        <v>8.4415800000000001</v>
      </c>
      <c r="C59" s="175">
        <v>8.2169000000000008</v>
      </c>
      <c r="D59" s="175">
        <v>8.2593599999999991</v>
      </c>
      <c r="E59" s="175">
        <v>8.4733999999999998</v>
      </c>
      <c r="F59" s="175">
        <v>8.4994399999999999</v>
      </c>
      <c r="G59" s="175">
        <v>8.76342</v>
      </c>
      <c r="H59" s="175">
        <v>8.6709399999999999</v>
      </c>
      <c r="I59" s="175">
        <v>8.8836200000000005</v>
      </c>
      <c r="J59" s="175">
        <v>9.1409000000000002</v>
      </c>
      <c r="K59" s="175">
        <v>9.1908200000000004</v>
      </c>
      <c r="L59" s="175">
        <v>8.9269999999999996</v>
      </c>
      <c r="M59" s="175">
        <v>8.7725200000000001</v>
      </c>
      <c r="N59" s="175">
        <v>8.7853200000000005</v>
      </c>
      <c r="O59" s="10"/>
      <c r="P59" s="10"/>
      <c r="Q59" s="10"/>
    </row>
    <row r="60" spans="1:17" ht="13" outlineLevel="4" x14ac:dyDescent="0.3">
      <c r="A60" s="174" t="s">
        <v>111</v>
      </c>
      <c r="B60" s="175">
        <v>23.719138560360001</v>
      </c>
      <c r="C60" s="175">
        <v>23.087833040340001</v>
      </c>
      <c r="D60" s="175">
        <v>23.207137083340001</v>
      </c>
      <c r="E60" s="175">
        <v>23.81194617653</v>
      </c>
      <c r="F60" s="175">
        <v>23.88512377684</v>
      </c>
      <c r="G60" s="175">
        <v>24.62696029484</v>
      </c>
      <c r="H60" s="175">
        <v>24.36707302616</v>
      </c>
      <c r="I60" s="175">
        <v>24.96474629934</v>
      </c>
      <c r="J60" s="175">
        <v>25.695097825449999</v>
      </c>
      <c r="K60" s="175">
        <v>25.835423097949999</v>
      </c>
      <c r="L60" s="175">
        <v>25.093824271990002</v>
      </c>
      <c r="M60" s="175">
        <v>24.65958052005</v>
      </c>
      <c r="N60" s="175">
        <v>24.695561359159999</v>
      </c>
      <c r="O60" s="10"/>
      <c r="P60" s="10"/>
      <c r="Q60" s="10"/>
    </row>
    <row r="61" spans="1:17" ht="13" outlineLevel="4" x14ac:dyDescent="0.3">
      <c r="A61" s="174" t="s">
        <v>112</v>
      </c>
      <c r="B61" s="175">
        <v>3.6823600697400001</v>
      </c>
      <c r="C61" s="175">
        <v>3.58435085103</v>
      </c>
      <c r="D61" s="175">
        <v>3.6104009927899998</v>
      </c>
      <c r="E61" s="175">
        <v>3.7077842190400001</v>
      </c>
      <c r="F61" s="175">
        <v>3.7191787833299998</v>
      </c>
      <c r="G61" s="175">
        <v>4.0651487357200002</v>
      </c>
      <c r="H61" s="175">
        <v>4.0222493933300001</v>
      </c>
      <c r="I61" s="175">
        <v>4.3628039657100004</v>
      </c>
      <c r="J61" s="175">
        <v>4.5209458001799998</v>
      </c>
      <c r="K61" s="175">
        <v>4.5406081365500004</v>
      </c>
      <c r="L61" s="175">
        <v>4.4133621052900001</v>
      </c>
      <c r="M61" s="175">
        <v>4.3369897318100001</v>
      </c>
      <c r="N61" s="175">
        <v>4.3628869331200004</v>
      </c>
      <c r="O61" s="10"/>
      <c r="P61" s="10"/>
      <c r="Q61" s="10"/>
    </row>
    <row r="62" spans="1:17" ht="13" outlineLevel="4" x14ac:dyDescent="0.3">
      <c r="A62" s="174" t="s">
        <v>113</v>
      </c>
      <c r="B62" s="175">
        <v>0</v>
      </c>
      <c r="C62" s="175">
        <v>0</v>
      </c>
      <c r="D62" s="175">
        <v>0</v>
      </c>
      <c r="E62" s="175">
        <v>0</v>
      </c>
      <c r="F62" s="175">
        <v>0</v>
      </c>
      <c r="G62" s="175">
        <v>0</v>
      </c>
      <c r="H62" s="175">
        <v>0</v>
      </c>
      <c r="I62" s="175">
        <v>0</v>
      </c>
      <c r="J62" s="175">
        <v>0</v>
      </c>
      <c r="K62" s="175">
        <v>0</v>
      </c>
      <c r="L62" s="175">
        <v>0</v>
      </c>
      <c r="M62" s="175">
        <v>4.1595599999999999</v>
      </c>
      <c r="N62" s="175">
        <v>4.2039</v>
      </c>
      <c r="O62" s="10"/>
      <c r="P62" s="10"/>
      <c r="Q62" s="10"/>
    </row>
    <row r="63" spans="1:17" ht="13" outlineLevel="4" x14ac:dyDescent="0.3">
      <c r="A63" s="174" t="s">
        <v>114</v>
      </c>
      <c r="B63" s="175">
        <v>1.7948754040000001E-2</v>
      </c>
      <c r="C63" s="175">
        <v>1.7897812669999999E-2</v>
      </c>
      <c r="D63" s="175">
        <v>1.8055220569999999E-2</v>
      </c>
      <c r="E63" s="175">
        <v>1.8534249070000001E-2</v>
      </c>
      <c r="F63" s="175">
        <v>1.8745669949999998E-2</v>
      </c>
      <c r="G63" s="175">
        <v>1.9138504510000001E-2</v>
      </c>
      <c r="H63" s="175">
        <v>1.915613079E-2</v>
      </c>
      <c r="I63" s="175">
        <v>1.9388485840000001E-2</v>
      </c>
      <c r="J63" s="175">
        <v>1.9464567110000001E-2</v>
      </c>
      <c r="K63" s="175">
        <v>1.9453367570000001E-2</v>
      </c>
      <c r="L63" s="175">
        <v>1.9506577210000001E-2</v>
      </c>
      <c r="M63" s="175">
        <v>1.9656187960000002E-2</v>
      </c>
      <c r="N63" s="175">
        <v>2.1545629019999998E-2</v>
      </c>
      <c r="O63" s="10"/>
      <c r="P63" s="10"/>
      <c r="Q63" s="10"/>
    </row>
    <row r="64" spans="1:17" ht="13" outlineLevel="4" x14ac:dyDescent="0.3">
      <c r="A64" s="174" t="s">
        <v>115</v>
      </c>
      <c r="B64" s="175">
        <v>18.97010688824</v>
      </c>
      <c r="C64" s="175">
        <v>18.465200980150001</v>
      </c>
      <c r="D64" s="175">
        <v>18.560618039320001</v>
      </c>
      <c r="E64" s="175">
        <v>18.8921324491</v>
      </c>
      <c r="F64" s="175">
        <v>19.0301760358</v>
      </c>
      <c r="G64" s="175">
        <v>19.621225077839998</v>
      </c>
      <c r="H64" s="175">
        <v>19.345499141409999</v>
      </c>
      <c r="I64" s="175">
        <v>19.919279530880001</v>
      </c>
      <c r="J64" s="175">
        <v>20.496165106549999</v>
      </c>
      <c r="K64" s="175">
        <v>20.39595794765</v>
      </c>
      <c r="L64" s="175">
        <v>19.81049749628</v>
      </c>
      <c r="M64" s="175">
        <v>19.59172034665</v>
      </c>
      <c r="N64" s="175">
        <v>19.550736922790001</v>
      </c>
      <c r="O64" s="10"/>
      <c r="P64" s="10"/>
      <c r="Q64" s="10"/>
    </row>
    <row r="65" spans="1:17" ht="13" outlineLevel="4" x14ac:dyDescent="0.3">
      <c r="A65" s="174" t="s">
        <v>116</v>
      </c>
      <c r="B65" s="175">
        <v>35.941655990729998</v>
      </c>
      <c r="C65" s="175">
        <v>34.261204525060002</v>
      </c>
      <c r="D65" s="175">
        <v>33.811750442579999</v>
      </c>
      <c r="E65" s="175">
        <v>34.59329374328</v>
      </c>
      <c r="F65" s="175">
        <v>33.857095958320002</v>
      </c>
      <c r="G65" s="175">
        <v>34.465259345889997</v>
      </c>
      <c r="H65" s="175">
        <v>33.67704758699</v>
      </c>
      <c r="I65" s="175">
        <v>35.333492603149999</v>
      </c>
      <c r="J65" s="175">
        <v>37.99154004052</v>
      </c>
      <c r="K65" s="175">
        <v>38.356971549720001</v>
      </c>
      <c r="L65" s="175">
        <v>35.904312624829998</v>
      </c>
      <c r="M65" s="175">
        <v>36.552486761579999</v>
      </c>
      <c r="N65" s="175">
        <v>35.589561397920001</v>
      </c>
      <c r="O65" s="10"/>
      <c r="P65" s="10"/>
      <c r="Q65" s="10"/>
    </row>
    <row r="66" spans="1:17" ht="13" outlineLevel="3" x14ac:dyDescent="0.3">
      <c r="A66" s="176" t="s">
        <v>117</v>
      </c>
      <c r="B66" s="175">
        <f t="shared" ref="B66:N66" si="8">SUM(B$67:B$67)</f>
        <v>23.011859616860001</v>
      </c>
      <c r="C66" s="175">
        <f t="shared" si="8"/>
        <v>22.946548355160001</v>
      </c>
      <c r="D66" s="175">
        <f t="shared" si="8"/>
        <v>23.148358942120002</v>
      </c>
      <c r="E66" s="175">
        <f t="shared" si="8"/>
        <v>23.762515027399999</v>
      </c>
      <c r="F66" s="175">
        <f t="shared" si="8"/>
        <v>24.033574939169998</v>
      </c>
      <c r="G66" s="175">
        <f t="shared" si="8"/>
        <v>24.53722291559</v>
      </c>
      <c r="H66" s="175">
        <f t="shared" si="8"/>
        <v>24.559821339159999</v>
      </c>
      <c r="I66" s="175">
        <f t="shared" si="8"/>
        <v>24.85772066553</v>
      </c>
      <c r="J66" s="175">
        <f t="shared" si="8"/>
        <v>24.95526345899</v>
      </c>
      <c r="K66" s="175">
        <f t="shared" si="8"/>
        <v>24.940904675100001</v>
      </c>
      <c r="L66" s="175">
        <f t="shared" si="8"/>
        <v>25.009124044939998</v>
      </c>
      <c r="M66" s="175">
        <f t="shared" si="8"/>
        <v>25.20093801022</v>
      </c>
      <c r="N66" s="175">
        <f t="shared" si="8"/>
        <v>25.469574498539998</v>
      </c>
      <c r="O66" s="10"/>
      <c r="P66" s="10"/>
      <c r="Q66" s="10"/>
    </row>
    <row r="67" spans="1:17" ht="13" outlineLevel="4" x14ac:dyDescent="0.3">
      <c r="A67" s="174" t="s">
        <v>118</v>
      </c>
      <c r="B67" s="175">
        <v>23.011859616860001</v>
      </c>
      <c r="C67" s="175">
        <v>22.946548355160001</v>
      </c>
      <c r="D67" s="175">
        <v>23.148358942120002</v>
      </c>
      <c r="E67" s="175">
        <v>23.762515027399999</v>
      </c>
      <c r="F67" s="175">
        <v>24.033574939169998</v>
      </c>
      <c r="G67" s="175">
        <v>24.53722291559</v>
      </c>
      <c r="H67" s="175">
        <v>24.559821339159999</v>
      </c>
      <c r="I67" s="175">
        <v>24.85772066553</v>
      </c>
      <c r="J67" s="175">
        <v>24.95526345899</v>
      </c>
      <c r="K67" s="175">
        <v>24.940904675100001</v>
      </c>
      <c r="L67" s="175">
        <v>25.009124044939998</v>
      </c>
      <c r="M67" s="175">
        <v>25.20093801022</v>
      </c>
      <c r="N67" s="175">
        <v>25.469574498539998</v>
      </c>
      <c r="O67" s="10"/>
      <c r="P67" s="10"/>
      <c r="Q67" s="10"/>
    </row>
    <row r="68" spans="1:17" ht="13" outlineLevel="3" x14ac:dyDescent="0.3">
      <c r="A68" s="176" t="s">
        <v>119</v>
      </c>
      <c r="B68" s="175">
        <f t="shared" ref="B68:N68" si="9">SUM(B$69:B$74)</f>
        <v>59.488384682030002</v>
      </c>
      <c r="C68" s="175">
        <f t="shared" si="9"/>
        <v>57.90504953976</v>
      </c>
      <c r="D68" s="175">
        <f t="shared" si="9"/>
        <v>57.233460656280002</v>
      </c>
      <c r="E68" s="175">
        <f t="shared" si="9"/>
        <v>64.749997945169994</v>
      </c>
      <c r="F68" s="175">
        <f t="shared" si="9"/>
        <v>64.78977742427</v>
      </c>
      <c r="G68" s="175">
        <f t="shared" si="9"/>
        <v>66.550707184269996</v>
      </c>
      <c r="H68" s="175">
        <f t="shared" si="9"/>
        <v>64.359368147739985</v>
      </c>
      <c r="I68" s="175">
        <f t="shared" si="9"/>
        <v>66.153445489519996</v>
      </c>
      <c r="J68" s="175">
        <f t="shared" si="9"/>
        <v>66.685659693809995</v>
      </c>
      <c r="K68" s="175">
        <f t="shared" si="9"/>
        <v>66.457991122820005</v>
      </c>
      <c r="L68" s="175">
        <f t="shared" si="9"/>
        <v>64.535191997769999</v>
      </c>
      <c r="M68" s="175">
        <f t="shared" si="9"/>
        <v>63.397428784300004</v>
      </c>
      <c r="N68" s="175">
        <f t="shared" si="9"/>
        <v>62.159684084680002</v>
      </c>
      <c r="O68" s="10"/>
      <c r="P68" s="10"/>
      <c r="Q68" s="10"/>
    </row>
    <row r="69" spans="1:17" ht="13" outlineLevel="4" x14ac:dyDescent="0.3">
      <c r="A69" s="174" t="s">
        <v>120</v>
      </c>
      <c r="B69" s="175">
        <v>27.435134999999999</v>
      </c>
      <c r="C69" s="175">
        <v>26.704924999999999</v>
      </c>
      <c r="D69" s="175">
        <v>26.842919999999999</v>
      </c>
      <c r="E69" s="175">
        <v>27.538550000000001</v>
      </c>
      <c r="F69" s="175">
        <v>27.623180000000001</v>
      </c>
      <c r="G69" s="175">
        <v>28.481114999999999</v>
      </c>
      <c r="H69" s="175">
        <v>28.180554999999998</v>
      </c>
      <c r="I69" s="175">
        <v>28.871765</v>
      </c>
      <c r="J69" s="175">
        <v>29.707924999999999</v>
      </c>
      <c r="K69" s="175">
        <v>29.870165</v>
      </c>
      <c r="L69" s="175">
        <v>29.01275</v>
      </c>
      <c r="M69" s="175">
        <v>28.51069</v>
      </c>
      <c r="N69" s="175">
        <v>28.552289999999999</v>
      </c>
      <c r="O69" s="10"/>
      <c r="P69" s="10"/>
      <c r="Q69" s="10"/>
    </row>
    <row r="70" spans="1:17" ht="13" outlineLevel="4" x14ac:dyDescent="0.3">
      <c r="A70" s="174" t="s">
        <v>121</v>
      </c>
      <c r="B70" s="175">
        <v>2.15805616E-3</v>
      </c>
      <c r="C70" s="175">
        <v>2.1006176200000001E-3</v>
      </c>
      <c r="D70" s="175">
        <v>2.11147235E-3</v>
      </c>
      <c r="E70" s="175">
        <v>2.1661908199999999E-3</v>
      </c>
      <c r="F70" s="175">
        <v>2.17284784E-3</v>
      </c>
      <c r="G70" s="175">
        <v>2.24033327E-3</v>
      </c>
      <c r="H70" s="175">
        <v>2.2166911300000001E-3</v>
      </c>
      <c r="I70" s="175">
        <v>2.2710619199999998E-3</v>
      </c>
      <c r="J70" s="175">
        <v>2.33683452E-3</v>
      </c>
      <c r="K70" s="175">
        <v>2.3495963700000001E-3</v>
      </c>
      <c r="L70" s="175">
        <v>2.2821518400000002E-3</v>
      </c>
      <c r="M70" s="175">
        <v>2.2426596500000002E-3</v>
      </c>
      <c r="N70" s="175">
        <v>2.2459319199999998E-3</v>
      </c>
      <c r="O70" s="10"/>
      <c r="P70" s="10"/>
      <c r="Q70" s="10"/>
    </row>
    <row r="71" spans="1:17" ht="13" outlineLevel="4" x14ac:dyDescent="0.3">
      <c r="A71" s="174" t="s">
        <v>122</v>
      </c>
      <c r="B71" s="175">
        <v>0.16403021542999999</v>
      </c>
      <c r="C71" s="175">
        <v>0.15966440845999999</v>
      </c>
      <c r="D71" s="175">
        <v>0.16048945814999999</v>
      </c>
      <c r="E71" s="175">
        <v>0.16464851691999999</v>
      </c>
      <c r="F71" s="175">
        <v>0.16515450594</v>
      </c>
      <c r="G71" s="175">
        <v>0.17028395994000001</v>
      </c>
      <c r="H71" s="175">
        <v>0.16848696052000001</v>
      </c>
      <c r="I71" s="175">
        <v>0.17261959283</v>
      </c>
      <c r="J71" s="175">
        <v>0.17761885763999999</v>
      </c>
      <c r="K71" s="175">
        <v>0.17858886424000001</v>
      </c>
      <c r="L71" s="175">
        <v>0.17346251924</v>
      </c>
      <c r="M71" s="175">
        <v>0.17046078406000001</v>
      </c>
      <c r="N71" s="175">
        <v>0.28202475074</v>
      </c>
      <c r="O71" s="10"/>
      <c r="P71" s="10"/>
      <c r="Q71" s="10"/>
    </row>
    <row r="72" spans="1:17" ht="13" outlineLevel="4" x14ac:dyDescent="0.3">
      <c r="A72" s="174" t="s">
        <v>123</v>
      </c>
      <c r="B72" s="175">
        <v>10.288715116660001</v>
      </c>
      <c r="C72" s="175">
        <v>10.01487200763</v>
      </c>
      <c r="D72" s="175">
        <v>10.090534182760001</v>
      </c>
      <c r="E72" s="175">
        <v>9.8132720423100004</v>
      </c>
      <c r="F72" s="175">
        <v>9.6846893571100008</v>
      </c>
      <c r="G72" s="175">
        <v>9.7051388277800008</v>
      </c>
      <c r="H72" s="175">
        <v>9.1422630231399999</v>
      </c>
      <c r="I72" s="175">
        <v>9.5552341876900009</v>
      </c>
      <c r="J72" s="175">
        <v>9.5395466816300001</v>
      </c>
      <c r="K72" s="175">
        <v>8.9299868596500005</v>
      </c>
      <c r="L72" s="175">
        <v>8.6736540043300003</v>
      </c>
      <c r="M72" s="175">
        <v>8.4781325743299991</v>
      </c>
      <c r="N72" s="175">
        <v>8.1087173963799994</v>
      </c>
      <c r="O72" s="10"/>
      <c r="P72" s="10"/>
      <c r="Q72" s="10"/>
    </row>
    <row r="73" spans="1:17" ht="13" outlineLevel="4" x14ac:dyDescent="0.3">
      <c r="A73" s="174" t="s">
        <v>124</v>
      </c>
      <c r="B73" s="175">
        <v>21.598346293780001</v>
      </c>
      <c r="C73" s="175">
        <v>21.023487506049999</v>
      </c>
      <c r="D73" s="175">
        <v>20.137405543020002</v>
      </c>
      <c r="E73" s="175">
        <v>20.65926320298</v>
      </c>
      <c r="F73" s="175">
        <v>20.72275214647</v>
      </c>
      <c r="G73" s="175">
        <v>21.366370092090001</v>
      </c>
      <c r="H73" s="175">
        <v>20.07109000526</v>
      </c>
      <c r="I73" s="175">
        <v>20.56339181133</v>
      </c>
      <c r="J73" s="175">
        <v>20.058044364200001</v>
      </c>
      <c r="K73" s="175">
        <v>20.167584734910001</v>
      </c>
      <c r="L73" s="175">
        <v>19.58867967478</v>
      </c>
      <c r="M73" s="175">
        <v>19.24970138015</v>
      </c>
      <c r="N73" s="175">
        <v>18.193875010589998</v>
      </c>
      <c r="O73" s="10"/>
      <c r="P73" s="10"/>
      <c r="Q73" s="10"/>
    </row>
    <row r="74" spans="1:17" ht="13" outlineLevel="4" x14ac:dyDescent="0.3">
      <c r="A74" s="174" t="s">
        <v>125</v>
      </c>
      <c r="B74" s="175">
        <v>0</v>
      </c>
      <c r="C74" s="175">
        <v>0</v>
      </c>
      <c r="D74" s="175">
        <v>0</v>
      </c>
      <c r="E74" s="175">
        <v>6.5720979921399998</v>
      </c>
      <c r="F74" s="175">
        <v>6.5918285669100003</v>
      </c>
      <c r="G74" s="175">
        <v>6.8255589711900004</v>
      </c>
      <c r="H74" s="175">
        <v>6.7947564676900001</v>
      </c>
      <c r="I74" s="175">
        <v>6.98816383575</v>
      </c>
      <c r="J74" s="175">
        <v>7.2001879558199997</v>
      </c>
      <c r="K74" s="175">
        <v>7.3093160676500002</v>
      </c>
      <c r="L74" s="175">
        <v>7.08436364758</v>
      </c>
      <c r="M74" s="175">
        <v>6.9862013861100003</v>
      </c>
      <c r="N74" s="175">
        <v>7.0205309950499997</v>
      </c>
      <c r="O74" s="10"/>
      <c r="P74" s="10"/>
      <c r="Q74" s="10"/>
    </row>
    <row r="75" spans="1:17" ht="13" outlineLevel="3" x14ac:dyDescent="0.3">
      <c r="A75" s="176" t="s">
        <v>126</v>
      </c>
      <c r="B75" s="175">
        <f t="shared" ref="B75:N75" si="10">SUM(B$76:B$82)</f>
        <v>750.56792791199996</v>
      </c>
      <c r="C75" s="175">
        <f t="shared" si="10"/>
        <v>746.179581998</v>
      </c>
      <c r="D75" s="175">
        <f t="shared" si="10"/>
        <v>752.40677285099991</v>
      </c>
      <c r="E75" s="175">
        <f t="shared" si="10"/>
        <v>772.31182348199991</v>
      </c>
      <c r="F75" s="175">
        <f t="shared" si="10"/>
        <v>780.32717934399989</v>
      </c>
      <c r="G75" s="175">
        <f t="shared" si="10"/>
        <v>797.64571606300001</v>
      </c>
      <c r="H75" s="175">
        <f t="shared" si="10"/>
        <v>797.24913756199999</v>
      </c>
      <c r="I75" s="175">
        <f t="shared" si="10"/>
        <v>808.12883933300009</v>
      </c>
      <c r="J75" s="175">
        <f t="shared" si="10"/>
        <v>626.87893172647</v>
      </c>
      <c r="K75" s="175">
        <f t="shared" si="10"/>
        <v>626.51823751399002</v>
      </c>
      <c r="L75" s="175">
        <f t="shared" si="10"/>
        <v>628.23191550244997</v>
      </c>
      <c r="M75" s="175">
        <f t="shared" si="10"/>
        <v>633.05030316803004</v>
      </c>
      <c r="N75" s="175">
        <f t="shared" si="10"/>
        <v>639.79848096628996</v>
      </c>
      <c r="O75" s="10"/>
      <c r="P75" s="10"/>
      <c r="Q75" s="10"/>
    </row>
    <row r="76" spans="1:17" ht="13" outlineLevel="4" x14ac:dyDescent="0.3">
      <c r="A76" s="174" t="s">
        <v>127</v>
      </c>
      <c r="B76" s="175">
        <v>287.17087291199999</v>
      </c>
      <c r="C76" s="175">
        <v>286.35583699799997</v>
      </c>
      <c r="D76" s="175">
        <v>288.87428285099998</v>
      </c>
      <c r="E76" s="175">
        <v>296.53849348199998</v>
      </c>
      <c r="F76" s="175">
        <v>299.92111934399998</v>
      </c>
      <c r="G76" s="175">
        <v>306.20627106299997</v>
      </c>
      <c r="H76" s="175">
        <v>306.48828256199999</v>
      </c>
      <c r="I76" s="175">
        <v>310.20584433300002</v>
      </c>
      <c r="J76" s="175">
        <v>0</v>
      </c>
      <c r="K76" s="175">
        <v>0</v>
      </c>
      <c r="L76" s="175">
        <v>0</v>
      </c>
      <c r="M76" s="175">
        <v>0</v>
      </c>
      <c r="N76" s="175">
        <v>0</v>
      </c>
      <c r="O76" s="10"/>
      <c r="P76" s="10"/>
      <c r="Q76" s="10"/>
    </row>
    <row r="77" spans="1:17" ht="13" outlineLevel="4" x14ac:dyDescent="0.3">
      <c r="A77" s="174" t="s">
        <v>129</v>
      </c>
      <c r="B77" s="175">
        <v>113.9472</v>
      </c>
      <c r="C77" s="175">
        <v>113.6238</v>
      </c>
      <c r="D77" s="175">
        <v>114.62309999999999</v>
      </c>
      <c r="E77" s="175">
        <v>117.66419999999999</v>
      </c>
      <c r="F77" s="175">
        <v>119.0064</v>
      </c>
      <c r="G77" s="175">
        <v>121.5003</v>
      </c>
      <c r="H77" s="175">
        <v>121.6122</v>
      </c>
      <c r="I77" s="175">
        <v>123.0873</v>
      </c>
      <c r="J77" s="175">
        <v>0</v>
      </c>
      <c r="K77" s="175">
        <v>0</v>
      </c>
      <c r="L77" s="175">
        <v>0</v>
      </c>
      <c r="M77" s="175">
        <v>0</v>
      </c>
      <c r="N77" s="175">
        <v>0</v>
      </c>
      <c r="O77" s="10"/>
      <c r="P77" s="10"/>
      <c r="Q77" s="10"/>
    </row>
    <row r="78" spans="1:17" ht="13" outlineLevel="4" x14ac:dyDescent="0.3">
      <c r="A78" s="174" t="s">
        <v>130</v>
      </c>
      <c r="B78" s="175">
        <v>89.25864</v>
      </c>
      <c r="C78" s="175">
        <v>89.005309999999994</v>
      </c>
      <c r="D78" s="175">
        <v>89.788094999999998</v>
      </c>
      <c r="E78" s="175">
        <v>92.170289999999994</v>
      </c>
      <c r="F78" s="175">
        <v>93.221680000000006</v>
      </c>
      <c r="G78" s="175">
        <v>95.175235000000001</v>
      </c>
      <c r="H78" s="175">
        <v>95.262889999999999</v>
      </c>
      <c r="I78" s="175">
        <v>96.418385000000001</v>
      </c>
      <c r="J78" s="175">
        <v>0</v>
      </c>
      <c r="K78" s="175">
        <v>0</v>
      </c>
      <c r="L78" s="175">
        <v>0</v>
      </c>
      <c r="M78" s="175">
        <v>0</v>
      </c>
      <c r="N78" s="175">
        <v>0</v>
      </c>
      <c r="O78" s="10"/>
      <c r="P78" s="10"/>
      <c r="Q78" s="10"/>
    </row>
    <row r="79" spans="1:17" ht="13" outlineLevel="4" x14ac:dyDescent="0.3">
      <c r="A79" s="174" t="s">
        <v>131</v>
      </c>
      <c r="B79" s="175">
        <v>42.207900000000002</v>
      </c>
      <c r="C79" s="175">
        <v>41.084499999999998</v>
      </c>
      <c r="D79" s="175">
        <v>41.296799999999998</v>
      </c>
      <c r="E79" s="175">
        <v>42.366999999999997</v>
      </c>
      <c r="F79" s="175">
        <v>42.497199999999999</v>
      </c>
      <c r="G79" s="175">
        <v>43.817100000000003</v>
      </c>
      <c r="H79" s="175">
        <v>43.354700000000001</v>
      </c>
      <c r="I79" s="175">
        <v>44.418100000000003</v>
      </c>
      <c r="J79" s="175">
        <v>0</v>
      </c>
      <c r="K79" s="175">
        <v>0</v>
      </c>
      <c r="L79" s="175">
        <v>0</v>
      </c>
      <c r="M79" s="175">
        <v>0</v>
      </c>
      <c r="N79" s="175">
        <v>0</v>
      </c>
      <c r="O79" s="10"/>
      <c r="P79" s="10"/>
      <c r="Q79" s="10"/>
    </row>
    <row r="80" spans="1:17" ht="13" outlineLevel="4" x14ac:dyDescent="0.3">
      <c r="A80" s="174" t="s">
        <v>132</v>
      </c>
      <c r="B80" s="175">
        <v>151.514115</v>
      </c>
      <c r="C80" s="175">
        <v>149.82958500000001</v>
      </c>
      <c r="D80" s="175">
        <v>150.96101999999999</v>
      </c>
      <c r="E80" s="175">
        <v>154.93439000000001</v>
      </c>
      <c r="F80" s="175">
        <v>156.26038</v>
      </c>
      <c r="G80" s="175">
        <v>160.07163499999999</v>
      </c>
      <c r="H80" s="175">
        <v>159.59061500000001</v>
      </c>
      <c r="I80" s="175">
        <v>162.198285</v>
      </c>
      <c r="J80" s="175">
        <v>0</v>
      </c>
      <c r="K80" s="175">
        <v>0</v>
      </c>
      <c r="L80" s="175">
        <v>0</v>
      </c>
      <c r="M80" s="175">
        <v>0</v>
      </c>
      <c r="N80" s="175">
        <v>0</v>
      </c>
      <c r="O80" s="10"/>
      <c r="P80" s="10"/>
      <c r="Q80" s="10"/>
    </row>
    <row r="81" spans="1:17" ht="13" outlineLevel="4" x14ac:dyDescent="0.3">
      <c r="A81" s="174" t="s">
        <v>133</v>
      </c>
      <c r="B81" s="175">
        <v>66.469200000000001</v>
      </c>
      <c r="C81" s="175">
        <v>66.280550000000005</v>
      </c>
      <c r="D81" s="175">
        <v>66.863474999999994</v>
      </c>
      <c r="E81" s="175">
        <v>68.637450000000001</v>
      </c>
      <c r="F81" s="175">
        <v>69.420400000000001</v>
      </c>
      <c r="G81" s="175">
        <v>70.875174999999999</v>
      </c>
      <c r="H81" s="175">
        <v>70.940449999999998</v>
      </c>
      <c r="I81" s="175">
        <v>71.800925000000007</v>
      </c>
      <c r="J81" s="175">
        <v>0</v>
      </c>
      <c r="K81" s="175">
        <v>0</v>
      </c>
      <c r="L81" s="175">
        <v>0</v>
      </c>
      <c r="M81" s="175">
        <v>0</v>
      </c>
      <c r="N81" s="175">
        <v>0</v>
      </c>
      <c r="O81" s="10"/>
      <c r="P81" s="10"/>
      <c r="Q81" s="10"/>
    </row>
    <row r="82" spans="1:17" ht="13" outlineLevel="4" x14ac:dyDescent="0.3">
      <c r="A82" s="174" t="s">
        <v>134</v>
      </c>
      <c r="B82" s="175">
        <v>0</v>
      </c>
      <c r="C82" s="175">
        <v>0</v>
      </c>
      <c r="D82" s="175">
        <v>0</v>
      </c>
      <c r="E82" s="175">
        <v>0</v>
      </c>
      <c r="F82" s="175">
        <v>0</v>
      </c>
      <c r="G82" s="175">
        <v>0</v>
      </c>
      <c r="H82" s="175">
        <v>0</v>
      </c>
      <c r="I82" s="175">
        <v>0</v>
      </c>
      <c r="J82" s="175">
        <v>626.87893172647</v>
      </c>
      <c r="K82" s="175">
        <v>626.51823751399002</v>
      </c>
      <c r="L82" s="175">
        <v>628.23191550244997</v>
      </c>
      <c r="M82" s="175">
        <v>633.05030316803004</v>
      </c>
      <c r="N82" s="175">
        <v>639.79848096628996</v>
      </c>
      <c r="O82" s="10"/>
      <c r="P82" s="10"/>
      <c r="Q82" s="10"/>
    </row>
    <row r="83" spans="1:17" ht="13" outlineLevel="3" x14ac:dyDescent="0.3">
      <c r="A83" s="176" t="s">
        <v>135</v>
      </c>
      <c r="B83" s="175">
        <f t="shared" ref="B83:N83" si="11">SUM(B$84:B$84)</f>
        <v>113.9472</v>
      </c>
      <c r="C83" s="175">
        <f t="shared" si="11"/>
        <v>113.6238</v>
      </c>
      <c r="D83" s="175">
        <f t="shared" si="11"/>
        <v>114.62309999999999</v>
      </c>
      <c r="E83" s="175">
        <f t="shared" si="11"/>
        <v>117.66419999999999</v>
      </c>
      <c r="F83" s="175">
        <f t="shared" si="11"/>
        <v>119.0064</v>
      </c>
      <c r="G83" s="175">
        <f t="shared" si="11"/>
        <v>121.5003</v>
      </c>
      <c r="H83" s="175">
        <f t="shared" si="11"/>
        <v>121.6122</v>
      </c>
      <c r="I83" s="175">
        <f t="shared" si="11"/>
        <v>123.0873</v>
      </c>
      <c r="J83" s="175">
        <f t="shared" si="11"/>
        <v>123.5703</v>
      </c>
      <c r="K83" s="175">
        <f t="shared" si="11"/>
        <v>123.4992</v>
      </c>
      <c r="L83" s="175">
        <f t="shared" si="11"/>
        <v>123.837</v>
      </c>
      <c r="M83" s="175">
        <f t="shared" si="11"/>
        <v>124.7868</v>
      </c>
      <c r="N83" s="175">
        <f t="shared" si="11"/>
        <v>126.117</v>
      </c>
      <c r="O83" s="10"/>
      <c r="P83" s="10"/>
      <c r="Q83" s="10"/>
    </row>
    <row r="84" spans="1:17" ht="13" outlineLevel="4" x14ac:dyDescent="0.3">
      <c r="A84" s="174" t="s">
        <v>136</v>
      </c>
      <c r="B84" s="175">
        <v>113.9472</v>
      </c>
      <c r="C84" s="175">
        <v>113.6238</v>
      </c>
      <c r="D84" s="175">
        <v>114.62309999999999</v>
      </c>
      <c r="E84" s="175">
        <v>117.66419999999999</v>
      </c>
      <c r="F84" s="175">
        <v>119.0064</v>
      </c>
      <c r="G84" s="175">
        <v>121.5003</v>
      </c>
      <c r="H84" s="175">
        <v>121.6122</v>
      </c>
      <c r="I84" s="175">
        <v>123.0873</v>
      </c>
      <c r="J84" s="175">
        <v>123.5703</v>
      </c>
      <c r="K84" s="175">
        <v>123.4992</v>
      </c>
      <c r="L84" s="175">
        <v>123.837</v>
      </c>
      <c r="M84" s="175">
        <v>124.7868</v>
      </c>
      <c r="N84" s="175">
        <v>126.117</v>
      </c>
      <c r="O84" s="10"/>
      <c r="P84" s="10"/>
      <c r="Q84" s="10"/>
    </row>
    <row r="85" spans="1:17" ht="13" outlineLevel="3" x14ac:dyDescent="0.3">
      <c r="A85" s="176" t="s">
        <v>137</v>
      </c>
      <c r="B85" s="175">
        <f t="shared" ref="B85:N85" si="12">SUM(B$86:B$86)</f>
        <v>160.84042546983</v>
      </c>
      <c r="C85" s="175">
        <f t="shared" si="12"/>
        <v>158.97514058707</v>
      </c>
      <c r="D85" s="175">
        <f t="shared" si="12"/>
        <v>160.09354076784999</v>
      </c>
      <c r="E85" s="175">
        <f t="shared" si="12"/>
        <v>163.90583768939001</v>
      </c>
      <c r="F85" s="175">
        <f t="shared" si="12"/>
        <v>165.00930895042001</v>
      </c>
      <c r="G85" s="175">
        <f t="shared" si="12"/>
        <v>169.18432812233999</v>
      </c>
      <c r="H85" s="175">
        <f t="shared" si="12"/>
        <v>168.29170181393999</v>
      </c>
      <c r="I85" s="175">
        <f t="shared" si="12"/>
        <v>172.02643778962999</v>
      </c>
      <c r="J85" s="175">
        <f t="shared" si="12"/>
        <v>175.06545769905</v>
      </c>
      <c r="K85" s="175">
        <f t="shared" si="12"/>
        <v>176.23366302859</v>
      </c>
      <c r="L85" s="175">
        <f t="shared" si="12"/>
        <v>173.49275439361</v>
      </c>
      <c r="M85" s="175">
        <f t="shared" si="12"/>
        <v>172.90043608865</v>
      </c>
      <c r="N85" s="175">
        <f t="shared" si="12"/>
        <v>173.03822402111001</v>
      </c>
      <c r="O85" s="10"/>
      <c r="P85" s="10"/>
      <c r="Q85" s="10"/>
    </row>
    <row r="86" spans="1:17" ht="13" outlineLevel="4" x14ac:dyDescent="0.3">
      <c r="A86" s="174" t="s">
        <v>104</v>
      </c>
      <c r="B86" s="175">
        <v>160.84042546983</v>
      </c>
      <c r="C86" s="175">
        <v>158.97514058707</v>
      </c>
      <c r="D86" s="175">
        <v>160.09354076784999</v>
      </c>
      <c r="E86" s="175">
        <v>163.90583768939001</v>
      </c>
      <c r="F86" s="175">
        <v>165.00930895042001</v>
      </c>
      <c r="G86" s="175">
        <v>169.18432812233999</v>
      </c>
      <c r="H86" s="175">
        <v>168.29170181393999</v>
      </c>
      <c r="I86" s="175">
        <v>172.02643778962999</v>
      </c>
      <c r="J86" s="175">
        <v>175.06545769905</v>
      </c>
      <c r="K86" s="175">
        <v>176.23366302859</v>
      </c>
      <c r="L86" s="175">
        <v>173.49275439361</v>
      </c>
      <c r="M86" s="175">
        <v>172.90043608865</v>
      </c>
      <c r="N86" s="175">
        <v>173.03822402111001</v>
      </c>
      <c r="O86" s="10"/>
      <c r="P86" s="10"/>
      <c r="Q86" s="10"/>
    </row>
    <row r="87" spans="1:17" ht="14.5" outlineLevel="1" x14ac:dyDescent="0.35">
      <c r="A87" s="179" t="s">
        <v>2</v>
      </c>
      <c r="B87" s="180">
        <f t="shared" ref="B87:N87" si="13">B$88+B$104</f>
        <v>331.5447170827199</v>
      </c>
      <c r="C87" s="180">
        <f t="shared" si="13"/>
        <v>333.70168517576002</v>
      </c>
      <c r="D87" s="180">
        <f t="shared" si="13"/>
        <v>322.81898751006997</v>
      </c>
      <c r="E87" s="180">
        <f t="shared" si="13"/>
        <v>311.82922195107</v>
      </c>
      <c r="F87" s="180">
        <f t="shared" si="13"/>
        <v>311.17218007730003</v>
      </c>
      <c r="G87" s="180">
        <f t="shared" si="13"/>
        <v>317.63493516326002</v>
      </c>
      <c r="H87" s="180">
        <f t="shared" si="13"/>
        <v>317.90986908139996</v>
      </c>
      <c r="I87" s="180">
        <f t="shared" si="13"/>
        <v>323.92510968661998</v>
      </c>
      <c r="J87" s="180">
        <f t="shared" si="13"/>
        <v>292.95867382253005</v>
      </c>
      <c r="K87" s="180">
        <f t="shared" si="13"/>
        <v>287.12154112533</v>
      </c>
      <c r="L87" s="180">
        <f t="shared" si="13"/>
        <v>279.13074053897998</v>
      </c>
      <c r="M87" s="180">
        <f t="shared" si="13"/>
        <v>279.34799404195996</v>
      </c>
      <c r="N87" s="180">
        <f t="shared" si="13"/>
        <v>288.51110931760996</v>
      </c>
      <c r="O87" s="10"/>
      <c r="P87" s="10"/>
      <c r="Q87" s="10"/>
    </row>
    <row r="88" spans="1:17" ht="14.5" outlineLevel="2" x14ac:dyDescent="0.35">
      <c r="A88" s="177" t="s">
        <v>57</v>
      </c>
      <c r="B88" s="178">
        <f t="shared" ref="B88:N88" si="14">B$89+B$94+B$102</f>
        <v>68.798719139519989</v>
      </c>
      <c r="C88" s="178">
        <f t="shared" si="14"/>
        <v>67.753240650639995</v>
      </c>
      <c r="D88" s="178">
        <f t="shared" si="14"/>
        <v>66.991864908019991</v>
      </c>
      <c r="E88" s="178">
        <f t="shared" si="14"/>
        <v>66.93128043726</v>
      </c>
      <c r="F88" s="178">
        <f t="shared" si="14"/>
        <v>68.18437776639999</v>
      </c>
      <c r="G88" s="178">
        <f t="shared" si="14"/>
        <v>68.845400875780001</v>
      </c>
      <c r="H88" s="178">
        <f t="shared" si="14"/>
        <v>69.013341075039989</v>
      </c>
      <c r="I88" s="178">
        <f t="shared" si="14"/>
        <v>69.501604626290003</v>
      </c>
      <c r="J88" s="178">
        <f t="shared" si="14"/>
        <v>70.031251152829995</v>
      </c>
      <c r="K88" s="178">
        <f t="shared" si="14"/>
        <v>67.203852496500005</v>
      </c>
      <c r="L88" s="178">
        <f t="shared" si="14"/>
        <v>66.11189128513</v>
      </c>
      <c r="M88" s="178">
        <f t="shared" si="14"/>
        <v>66.571977066239995</v>
      </c>
      <c r="N88" s="178">
        <f t="shared" si="14"/>
        <v>69.357463909260005</v>
      </c>
      <c r="O88" s="10"/>
      <c r="P88" s="10"/>
      <c r="Q88" s="10"/>
    </row>
    <row r="89" spans="1:17" ht="13" outlineLevel="3" x14ac:dyDescent="0.3">
      <c r="A89" s="176" t="s">
        <v>58</v>
      </c>
      <c r="B89" s="175">
        <f t="shared" ref="B89:N89" si="15">SUM(B$90:B$93)</f>
        <v>7.9750116000000002</v>
      </c>
      <c r="C89" s="175">
        <f t="shared" si="15"/>
        <v>7.9750116000000002</v>
      </c>
      <c r="D89" s="175">
        <f t="shared" si="15"/>
        <v>7.9750116000000002</v>
      </c>
      <c r="E89" s="175">
        <f t="shared" si="15"/>
        <v>7.9750116000000002</v>
      </c>
      <c r="F89" s="175">
        <f t="shared" si="15"/>
        <v>7.9750116000000002</v>
      </c>
      <c r="G89" s="175">
        <f t="shared" si="15"/>
        <v>7.9750116000000002</v>
      </c>
      <c r="H89" s="175">
        <f t="shared" si="15"/>
        <v>7.9750116000000002</v>
      </c>
      <c r="I89" s="175">
        <f t="shared" si="15"/>
        <v>7.9750116000000002</v>
      </c>
      <c r="J89" s="175">
        <f t="shared" si="15"/>
        <v>7.9750116000000002</v>
      </c>
      <c r="K89" s="175">
        <f t="shared" si="15"/>
        <v>4.4750116000000002</v>
      </c>
      <c r="L89" s="175">
        <f t="shared" si="15"/>
        <v>4.4750116000000002</v>
      </c>
      <c r="M89" s="175">
        <f t="shared" si="15"/>
        <v>4.4750116000000002</v>
      </c>
      <c r="N89" s="175">
        <f t="shared" si="15"/>
        <v>4.4750116000000002</v>
      </c>
      <c r="O89" s="10"/>
      <c r="P89" s="10"/>
      <c r="Q89" s="10"/>
    </row>
    <row r="90" spans="1:17" ht="13" outlineLevel="4" x14ac:dyDescent="0.3">
      <c r="A90" s="174" t="s">
        <v>138</v>
      </c>
      <c r="B90" s="175">
        <v>1.1600000000000001E-5</v>
      </c>
      <c r="C90" s="175">
        <v>1.1600000000000001E-5</v>
      </c>
      <c r="D90" s="175">
        <v>1.1600000000000001E-5</v>
      </c>
      <c r="E90" s="175">
        <v>1.1600000000000001E-5</v>
      </c>
      <c r="F90" s="175">
        <v>1.1600000000000001E-5</v>
      </c>
      <c r="G90" s="175">
        <v>1.1600000000000001E-5</v>
      </c>
      <c r="H90" s="175">
        <v>1.1600000000000001E-5</v>
      </c>
      <c r="I90" s="175">
        <v>1.1600000000000001E-5</v>
      </c>
      <c r="J90" s="175">
        <v>1.1600000000000001E-5</v>
      </c>
      <c r="K90" s="175">
        <v>1.1600000000000001E-5</v>
      </c>
      <c r="L90" s="175">
        <v>1.1600000000000001E-5</v>
      </c>
      <c r="M90" s="175">
        <v>1.1600000000000001E-5</v>
      </c>
      <c r="N90" s="175">
        <v>1.1600000000000001E-5</v>
      </c>
      <c r="O90" s="10"/>
      <c r="P90" s="10"/>
      <c r="Q90" s="10"/>
    </row>
    <row r="91" spans="1:17" ht="13" outlineLevel="4" x14ac:dyDescent="0.3">
      <c r="A91" s="174" t="s">
        <v>139</v>
      </c>
      <c r="B91" s="175">
        <v>2.4750000000000001</v>
      </c>
      <c r="C91" s="175">
        <v>2.4750000000000001</v>
      </c>
      <c r="D91" s="175">
        <v>2.4750000000000001</v>
      </c>
      <c r="E91" s="175">
        <v>2.4750000000000001</v>
      </c>
      <c r="F91" s="175">
        <v>2.4750000000000001</v>
      </c>
      <c r="G91" s="175">
        <v>2.4750000000000001</v>
      </c>
      <c r="H91" s="175">
        <v>2.4750000000000001</v>
      </c>
      <c r="I91" s="175">
        <v>2.4750000000000001</v>
      </c>
      <c r="J91" s="175">
        <v>2.4750000000000001</v>
      </c>
      <c r="K91" s="175">
        <v>2.4750000000000001</v>
      </c>
      <c r="L91" s="175">
        <v>2.4750000000000001</v>
      </c>
      <c r="M91" s="175">
        <v>2.4750000000000001</v>
      </c>
      <c r="N91" s="175">
        <v>2.4750000000000001</v>
      </c>
      <c r="O91" s="10"/>
      <c r="P91" s="10"/>
      <c r="Q91" s="10"/>
    </row>
    <row r="92" spans="1:17" ht="13" outlineLevel="4" x14ac:dyDescent="0.3">
      <c r="A92" s="174" t="s">
        <v>143</v>
      </c>
      <c r="B92" s="175">
        <v>3.5</v>
      </c>
      <c r="C92" s="175">
        <v>3.5</v>
      </c>
      <c r="D92" s="175">
        <v>3.5</v>
      </c>
      <c r="E92" s="175">
        <v>3.5</v>
      </c>
      <c r="F92" s="175">
        <v>3.5</v>
      </c>
      <c r="G92" s="175">
        <v>3.5</v>
      </c>
      <c r="H92" s="175">
        <v>3.5</v>
      </c>
      <c r="I92" s="175">
        <v>3.5</v>
      </c>
      <c r="J92" s="175">
        <v>3.5</v>
      </c>
      <c r="K92" s="175">
        <v>0</v>
      </c>
      <c r="L92" s="175">
        <v>0</v>
      </c>
      <c r="M92" s="175">
        <v>0</v>
      </c>
      <c r="N92" s="175">
        <v>0</v>
      </c>
      <c r="O92" s="10"/>
      <c r="P92" s="10"/>
      <c r="Q92" s="10"/>
    </row>
    <row r="93" spans="1:17" ht="13" outlineLevel="4" x14ac:dyDescent="0.3">
      <c r="A93" s="174" t="s">
        <v>144</v>
      </c>
      <c r="B93" s="175">
        <v>2</v>
      </c>
      <c r="C93" s="175">
        <v>2</v>
      </c>
      <c r="D93" s="175">
        <v>2</v>
      </c>
      <c r="E93" s="175">
        <v>2</v>
      </c>
      <c r="F93" s="175">
        <v>2</v>
      </c>
      <c r="G93" s="175">
        <v>2</v>
      </c>
      <c r="H93" s="175">
        <v>2</v>
      </c>
      <c r="I93" s="175">
        <v>2</v>
      </c>
      <c r="J93" s="175">
        <v>2</v>
      </c>
      <c r="K93" s="175">
        <v>2</v>
      </c>
      <c r="L93" s="175">
        <v>2</v>
      </c>
      <c r="M93" s="175">
        <v>2</v>
      </c>
      <c r="N93" s="175">
        <v>2</v>
      </c>
      <c r="O93" s="10"/>
      <c r="P93" s="10"/>
      <c r="Q93" s="10"/>
    </row>
    <row r="94" spans="1:17" ht="13" outlineLevel="3" x14ac:dyDescent="0.3">
      <c r="A94" s="176" t="s">
        <v>93</v>
      </c>
      <c r="B94" s="175">
        <f t="shared" ref="B94:N94" si="16">SUM(B$95:B$101)</f>
        <v>60.822752889519997</v>
      </c>
      <c r="C94" s="175">
        <f t="shared" si="16"/>
        <v>59.777274400639996</v>
      </c>
      <c r="D94" s="175">
        <f t="shared" si="16"/>
        <v>59.015898658019999</v>
      </c>
      <c r="E94" s="175">
        <f t="shared" si="16"/>
        <v>58.955314187260001</v>
      </c>
      <c r="F94" s="175">
        <f t="shared" si="16"/>
        <v>60.208411516399998</v>
      </c>
      <c r="G94" s="175">
        <f t="shared" si="16"/>
        <v>60.869434625780002</v>
      </c>
      <c r="H94" s="175">
        <f t="shared" si="16"/>
        <v>61.037374825039997</v>
      </c>
      <c r="I94" s="175">
        <f t="shared" si="16"/>
        <v>61.525638376290004</v>
      </c>
      <c r="J94" s="175">
        <f t="shared" si="16"/>
        <v>62.055284902829996</v>
      </c>
      <c r="K94" s="175">
        <f t="shared" si="16"/>
        <v>62.727886246500006</v>
      </c>
      <c r="L94" s="175">
        <f t="shared" si="16"/>
        <v>61.635925035130001</v>
      </c>
      <c r="M94" s="175">
        <f t="shared" si="16"/>
        <v>62.096010816239996</v>
      </c>
      <c r="N94" s="175">
        <f t="shared" si="16"/>
        <v>64.881497659260006</v>
      </c>
      <c r="O94" s="10"/>
      <c r="P94" s="10"/>
      <c r="Q94" s="10"/>
    </row>
    <row r="95" spans="1:17" ht="13" outlineLevel="4" x14ac:dyDescent="0.3">
      <c r="A95" s="174" t="s">
        <v>145</v>
      </c>
      <c r="B95" s="175">
        <v>3.58431738666</v>
      </c>
      <c r="C95" s="175">
        <v>3.4917170181300001</v>
      </c>
      <c r="D95" s="175">
        <v>3.4177869273899999</v>
      </c>
      <c r="E95" s="175">
        <v>3.37034461442</v>
      </c>
      <c r="F95" s="175">
        <v>3.2980636903399998</v>
      </c>
      <c r="G95" s="175">
        <v>3.23893623848</v>
      </c>
      <c r="H95" s="175">
        <v>3.1488273977299999</v>
      </c>
      <c r="I95" s="175">
        <v>3.0743927236499999</v>
      </c>
      <c r="J95" s="175">
        <v>2.9875688828999998</v>
      </c>
      <c r="K95" s="175">
        <v>2.8943976810300001</v>
      </c>
      <c r="L95" s="175">
        <v>2.8054570347299999</v>
      </c>
      <c r="M95" s="175">
        <v>2.7221536106399999</v>
      </c>
      <c r="N95" s="175">
        <v>2.6414929643299998</v>
      </c>
      <c r="O95" s="10"/>
      <c r="P95" s="10"/>
      <c r="Q95" s="10"/>
    </row>
    <row r="96" spans="1:17" ht="13" outlineLevel="4" x14ac:dyDescent="0.3">
      <c r="A96" s="174" t="s">
        <v>146</v>
      </c>
      <c r="B96" s="175">
        <v>0.43890773350000001</v>
      </c>
      <c r="C96" s="175">
        <v>0.42398510576999998</v>
      </c>
      <c r="D96" s="175">
        <v>0.41391675025000002</v>
      </c>
      <c r="E96" s="175">
        <v>0.41073521696999998</v>
      </c>
      <c r="F96" s="175">
        <v>0.40109564479999998</v>
      </c>
      <c r="G96" s="175">
        <v>0.39487597541000002</v>
      </c>
      <c r="H96" s="175">
        <v>0.38060114489000002</v>
      </c>
      <c r="I96" s="175">
        <v>0.37040159771999998</v>
      </c>
      <c r="J96" s="175">
        <v>0.35698086722</v>
      </c>
      <c r="K96" s="175">
        <v>0.34190982281999999</v>
      </c>
      <c r="L96" s="175">
        <v>0.32793872285999998</v>
      </c>
      <c r="M96" s="175">
        <v>0.31543330068999997</v>
      </c>
      <c r="N96" s="175">
        <v>0.30361500074999997</v>
      </c>
      <c r="O96" s="10"/>
      <c r="P96" s="10"/>
      <c r="Q96" s="10"/>
    </row>
    <row r="97" spans="1:17" ht="13" outlineLevel="4" x14ac:dyDescent="0.3">
      <c r="A97" s="174" t="s">
        <v>147</v>
      </c>
      <c r="B97" s="175">
        <v>11.39334056433</v>
      </c>
      <c r="C97" s="175">
        <v>11.316509228679999</v>
      </c>
      <c r="D97" s="175">
        <v>12.21268514456</v>
      </c>
      <c r="E97" s="175">
        <v>12.696562370720001</v>
      </c>
      <c r="F97" s="175">
        <v>13.205688354079999</v>
      </c>
      <c r="G97" s="175">
        <v>13.821234488769999</v>
      </c>
      <c r="H97" s="175">
        <v>13.99442030688</v>
      </c>
      <c r="I97" s="175">
        <v>14.310625384270001</v>
      </c>
      <c r="J97" s="175">
        <v>14.62591897767</v>
      </c>
      <c r="K97" s="175">
        <v>14.79331891348</v>
      </c>
      <c r="L97" s="175">
        <v>14.062058941309999</v>
      </c>
      <c r="M97" s="175">
        <v>14.086726919889999</v>
      </c>
      <c r="N97" s="175">
        <v>14.99023391273</v>
      </c>
      <c r="O97" s="10"/>
      <c r="P97" s="10"/>
      <c r="Q97" s="10"/>
    </row>
    <row r="98" spans="1:17" ht="13" outlineLevel="4" x14ac:dyDescent="0.3">
      <c r="A98" s="174" t="s">
        <v>148</v>
      </c>
      <c r="B98" s="175">
        <v>13.171333369219999</v>
      </c>
      <c r="C98" s="175">
        <v>12.97607546887</v>
      </c>
      <c r="D98" s="175">
        <v>12.839997142670001</v>
      </c>
      <c r="E98" s="175">
        <v>12.78847173036</v>
      </c>
      <c r="F98" s="175">
        <v>12.65843337862</v>
      </c>
      <c r="G98" s="175">
        <v>12.570878066080001</v>
      </c>
      <c r="H98" s="175">
        <v>12.384447808459999</v>
      </c>
      <c r="I98" s="175">
        <v>12.248608823890001</v>
      </c>
      <c r="J98" s="175">
        <v>12.07308847749</v>
      </c>
      <c r="K98" s="175">
        <v>11.87707343528</v>
      </c>
      <c r="L98" s="175">
        <v>11.69486053512</v>
      </c>
      <c r="M98" s="175">
        <v>11.53128034319</v>
      </c>
      <c r="N98" s="175">
        <v>13.25976210098</v>
      </c>
      <c r="O98" s="10"/>
      <c r="P98" s="10"/>
      <c r="Q98" s="10"/>
    </row>
    <row r="99" spans="1:17" ht="13" outlineLevel="4" x14ac:dyDescent="0.3">
      <c r="A99" s="174" t="s">
        <v>149</v>
      </c>
      <c r="B99" s="175">
        <v>0.33762133300000002</v>
      </c>
      <c r="C99" s="175">
        <v>0.32614238846999999</v>
      </c>
      <c r="D99" s="175">
        <v>0.31839749949000001</v>
      </c>
      <c r="E99" s="175">
        <v>0.31595016605999998</v>
      </c>
      <c r="F99" s="175">
        <v>0.30853511040999998</v>
      </c>
      <c r="G99" s="175">
        <v>0.30375074919</v>
      </c>
      <c r="H99" s="175">
        <v>0.29277011020999999</v>
      </c>
      <c r="I99" s="175">
        <v>0.28492430455000001</v>
      </c>
      <c r="J99" s="175">
        <v>0.27460066557000001</v>
      </c>
      <c r="K99" s="175">
        <v>0.26300755437000001</v>
      </c>
      <c r="L99" s="175">
        <v>0.25226055426999999</v>
      </c>
      <c r="M99" s="175">
        <v>0.24264099860999999</v>
      </c>
      <c r="N99" s="175">
        <v>0.23354999851</v>
      </c>
      <c r="O99" s="10"/>
      <c r="P99" s="10"/>
      <c r="Q99" s="10"/>
    </row>
    <row r="100" spans="1:17" ht="13" outlineLevel="4" x14ac:dyDescent="0.3">
      <c r="A100" s="174" t="s">
        <v>150</v>
      </c>
      <c r="B100" s="175">
        <v>0.47266986649999998</v>
      </c>
      <c r="C100" s="175">
        <v>0.45659934422999998</v>
      </c>
      <c r="D100" s="175">
        <v>0.44575649974999998</v>
      </c>
      <c r="E100" s="175">
        <v>0.44233023303000002</v>
      </c>
      <c r="F100" s="175">
        <v>0.43194915519999999</v>
      </c>
      <c r="G100" s="175">
        <v>0.42525104958999999</v>
      </c>
      <c r="H100" s="175">
        <v>0.40987815510999998</v>
      </c>
      <c r="I100" s="175">
        <v>0.39889402728000001</v>
      </c>
      <c r="J100" s="175">
        <v>0.38444093278000002</v>
      </c>
      <c r="K100" s="175">
        <v>0.36821057718</v>
      </c>
      <c r="L100" s="175">
        <v>0.35316477714</v>
      </c>
      <c r="M100" s="175">
        <v>0.33969739930999998</v>
      </c>
      <c r="N100" s="175">
        <v>0.32696999924999998</v>
      </c>
      <c r="O100" s="10"/>
      <c r="P100" s="10"/>
      <c r="Q100" s="10"/>
    </row>
    <row r="101" spans="1:17" ht="13" outlineLevel="4" x14ac:dyDescent="0.3">
      <c r="A101" s="174" t="s">
        <v>153</v>
      </c>
      <c r="B101" s="175">
        <v>31.42456263631</v>
      </c>
      <c r="C101" s="175">
        <v>30.786245846490001</v>
      </c>
      <c r="D101" s="175">
        <v>29.367358693909999</v>
      </c>
      <c r="E101" s="175">
        <v>28.930919855700001</v>
      </c>
      <c r="F101" s="175">
        <v>29.90464618295</v>
      </c>
      <c r="G101" s="175">
        <v>30.11450805826</v>
      </c>
      <c r="H101" s="175">
        <v>30.426429901759999</v>
      </c>
      <c r="I101" s="175">
        <v>30.83779151493</v>
      </c>
      <c r="J101" s="175">
        <v>31.3526860992</v>
      </c>
      <c r="K101" s="175">
        <v>32.189968262340003</v>
      </c>
      <c r="L101" s="175">
        <v>32.140184469700003</v>
      </c>
      <c r="M101" s="175">
        <v>32.858078243910001</v>
      </c>
      <c r="N101" s="175">
        <v>33.125873682710001</v>
      </c>
      <c r="O101" s="10"/>
      <c r="P101" s="10"/>
      <c r="Q101" s="10"/>
    </row>
    <row r="102" spans="1:17" ht="13" outlineLevel="3" x14ac:dyDescent="0.3">
      <c r="A102" s="176" t="s">
        <v>154</v>
      </c>
      <c r="B102" s="175">
        <f t="shared" ref="B102:N102" si="17">SUM(B$103:B$103)</f>
        <v>9.5465000000000003E-4</v>
      </c>
      <c r="C102" s="175">
        <f t="shared" si="17"/>
        <v>9.5465000000000003E-4</v>
      </c>
      <c r="D102" s="175">
        <f t="shared" si="17"/>
        <v>9.5465000000000003E-4</v>
      </c>
      <c r="E102" s="175">
        <f t="shared" si="17"/>
        <v>9.5465000000000003E-4</v>
      </c>
      <c r="F102" s="175">
        <f t="shared" si="17"/>
        <v>9.5465000000000003E-4</v>
      </c>
      <c r="G102" s="175">
        <f t="shared" si="17"/>
        <v>9.5465000000000003E-4</v>
      </c>
      <c r="H102" s="175">
        <f t="shared" si="17"/>
        <v>9.5465000000000003E-4</v>
      </c>
      <c r="I102" s="175">
        <f t="shared" si="17"/>
        <v>9.5465000000000003E-4</v>
      </c>
      <c r="J102" s="175">
        <f t="shared" si="17"/>
        <v>9.5465000000000003E-4</v>
      </c>
      <c r="K102" s="175">
        <f t="shared" si="17"/>
        <v>9.5465000000000003E-4</v>
      </c>
      <c r="L102" s="175">
        <f t="shared" si="17"/>
        <v>9.5465000000000003E-4</v>
      </c>
      <c r="M102" s="175">
        <f t="shared" si="17"/>
        <v>9.5465000000000003E-4</v>
      </c>
      <c r="N102" s="175">
        <f t="shared" si="17"/>
        <v>9.5465000000000003E-4</v>
      </c>
      <c r="O102" s="10"/>
      <c r="P102" s="10"/>
      <c r="Q102" s="10"/>
    </row>
    <row r="103" spans="1:17" ht="13" outlineLevel="4" x14ac:dyDescent="0.3">
      <c r="A103" s="174" t="s">
        <v>155</v>
      </c>
      <c r="B103" s="175">
        <v>9.5465000000000003E-4</v>
      </c>
      <c r="C103" s="175">
        <v>9.5465000000000003E-4</v>
      </c>
      <c r="D103" s="175">
        <v>9.5465000000000003E-4</v>
      </c>
      <c r="E103" s="175">
        <v>9.5465000000000003E-4</v>
      </c>
      <c r="F103" s="175">
        <v>9.5465000000000003E-4</v>
      </c>
      <c r="G103" s="175">
        <v>9.5465000000000003E-4</v>
      </c>
      <c r="H103" s="175">
        <v>9.5465000000000003E-4</v>
      </c>
      <c r="I103" s="175">
        <v>9.5465000000000003E-4</v>
      </c>
      <c r="J103" s="175">
        <v>9.5465000000000003E-4</v>
      </c>
      <c r="K103" s="175">
        <v>9.5465000000000003E-4</v>
      </c>
      <c r="L103" s="175">
        <v>9.5465000000000003E-4</v>
      </c>
      <c r="M103" s="175">
        <v>9.5465000000000003E-4</v>
      </c>
      <c r="N103" s="175">
        <v>9.5465000000000003E-4</v>
      </c>
      <c r="O103" s="10"/>
      <c r="P103" s="10"/>
      <c r="Q103" s="10"/>
    </row>
    <row r="104" spans="1:17" ht="14.5" outlineLevel="2" x14ac:dyDescent="0.35">
      <c r="A104" s="177" t="s">
        <v>95</v>
      </c>
      <c r="B104" s="178">
        <f t="shared" ref="B104:N104" si="18">B$105+B$112+B$115+B$117+B$120</f>
        <v>262.74599794319994</v>
      </c>
      <c r="C104" s="178">
        <f t="shared" si="18"/>
        <v>265.94844452512001</v>
      </c>
      <c r="D104" s="178">
        <f t="shared" si="18"/>
        <v>255.82712260205</v>
      </c>
      <c r="E104" s="178">
        <f t="shared" si="18"/>
        <v>244.89794151381</v>
      </c>
      <c r="F104" s="178">
        <f t="shared" si="18"/>
        <v>242.98780231090001</v>
      </c>
      <c r="G104" s="178">
        <f t="shared" si="18"/>
        <v>248.78953428748002</v>
      </c>
      <c r="H104" s="178">
        <f t="shared" si="18"/>
        <v>248.89652800636</v>
      </c>
      <c r="I104" s="178">
        <f t="shared" si="18"/>
        <v>254.42350506033</v>
      </c>
      <c r="J104" s="178">
        <f t="shared" si="18"/>
        <v>222.92742266970004</v>
      </c>
      <c r="K104" s="178">
        <f t="shared" si="18"/>
        <v>219.91768862883001</v>
      </c>
      <c r="L104" s="178">
        <f t="shared" si="18"/>
        <v>213.01884925384996</v>
      </c>
      <c r="M104" s="178">
        <f t="shared" si="18"/>
        <v>212.77601697571998</v>
      </c>
      <c r="N104" s="178">
        <f t="shared" si="18"/>
        <v>219.15364540834997</v>
      </c>
      <c r="O104" s="10"/>
      <c r="P104" s="10"/>
      <c r="Q104" s="10"/>
    </row>
    <row r="105" spans="1:17" ht="13" outlineLevel="3" x14ac:dyDescent="0.3">
      <c r="A105" s="176" t="s">
        <v>96</v>
      </c>
      <c r="B105" s="175">
        <f t="shared" ref="B105:N105" si="19">SUM(B$106:B$111)</f>
        <v>160.72856170807</v>
      </c>
      <c r="C105" s="175">
        <f t="shared" si="19"/>
        <v>164.28373539414</v>
      </c>
      <c r="D105" s="175">
        <f t="shared" si="19"/>
        <v>153.30039263683</v>
      </c>
      <c r="E105" s="175">
        <f t="shared" si="19"/>
        <v>139.61343119416</v>
      </c>
      <c r="F105" s="175">
        <f t="shared" si="19"/>
        <v>136.53219095499</v>
      </c>
      <c r="G105" s="175">
        <f t="shared" si="19"/>
        <v>140.21968338077002</v>
      </c>
      <c r="H105" s="175">
        <f t="shared" si="19"/>
        <v>140.24611766097001</v>
      </c>
      <c r="I105" s="175">
        <f t="shared" si="19"/>
        <v>144.39465422303999</v>
      </c>
      <c r="J105" s="175">
        <f t="shared" si="19"/>
        <v>141.35557377598002</v>
      </c>
      <c r="K105" s="175">
        <f t="shared" si="19"/>
        <v>138.35137537388999</v>
      </c>
      <c r="L105" s="175">
        <f t="shared" si="19"/>
        <v>131.35752267404999</v>
      </c>
      <c r="M105" s="175">
        <f t="shared" si="19"/>
        <v>130.72604184745998</v>
      </c>
      <c r="N105" s="175">
        <f t="shared" si="19"/>
        <v>136.28570344675998</v>
      </c>
      <c r="O105" s="10"/>
      <c r="P105" s="10"/>
      <c r="Q105" s="10"/>
    </row>
    <row r="106" spans="1:17" ht="13" outlineLevel="4" x14ac:dyDescent="0.3">
      <c r="A106" s="174" t="s">
        <v>156</v>
      </c>
      <c r="B106" s="175">
        <v>12.662369999999999</v>
      </c>
      <c r="C106" s="175">
        <v>12.32535</v>
      </c>
      <c r="D106" s="175">
        <v>12.38904</v>
      </c>
      <c r="E106" s="175">
        <v>12.710100000000001</v>
      </c>
      <c r="F106" s="175">
        <v>12.74916</v>
      </c>
      <c r="G106" s="175">
        <v>13.14513</v>
      </c>
      <c r="H106" s="175">
        <v>13.006410000000001</v>
      </c>
      <c r="I106" s="175">
        <v>13.325430000000001</v>
      </c>
      <c r="J106" s="175">
        <v>13.711349999999999</v>
      </c>
      <c r="K106" s="175">
        <v>13.78623</v>
      </c>
      <c r="L106" s="175">
        <v>13.390499999999999</v>
      </c>
      <c r="M106" s="175">
        <v>13.15878</v>
      </c>
      <c r="N106" s="175">
        <v>13.17798</v>
      </c>
      <c r="O106" s="10"/>
      <c r="P106" s="10"/>
      <c r="Q106" s="10"/>
    </row>
    <row r="107" spans="1:17" ht="13" outlineLevel="4" x14ac:dyDescent="0.3">
      <c r="A107" s="174" t="s">
        <v>99</v>
      </c>
      <c r="B107" s="175">
        <v>42.482597292279998</v>
      </c>
      <c r="C107" s="175">
        <v>47.534649706629999</v>
      </c>
      <c r="D107" s="175">
        <v>40.720778894319999</v>
      </c>
      <c r="E107" s="175">
        <v>34.517423706339997</v>
      </c>
      <c r="F107" s="175">
        <v>34.31620489857</v>
      </c>
      <c r="G107" s="175">
        <v>35.536443784920003</v>
      </c>
      <c r="H107" s="175">
        <v>35.903230671919999</v>
      </c>
      <c r="I107" s="175">
        <v>37.971141920459999</v>
      </c>
      <c r="J107" s="175">
        <v>38.611953762280002</v>
      </c>
      <c r="K107" s="175">
        <v>46.124770762799997</v>
      </c>
      <c r="L107" s="175">
        <v>44.224910913830001</v>
      </c>
      <c r="M107" s="175">
        <v>44.033286887869998</v>
      </c>
      <c r="N107" s="175">
        <v>45.32443061531</v>
      </c>
      <c r="O107" s="10"/>
      <c r="P107" s="10"/>
      <c r="Q107" s="10"/>
    </row>
    <row r="108" spans="1:17" ht="13" outlineLevel="4" x14ac:dyDescent="0.3">
      <c r="A108" s="174" t="s">
        <v>100</v>
      </c>
      <c r="B108" s="175">
        <v>4.2488582534999999</v>
      </c>
      <c r="C108" s="175">
        <v>4.0854426799999999</v>
      </c>
      <c r="D108" s="175">
        <v>4.1065537919999997</v>
      </c>
      <c r="E108" s="175">
        <v>4.2129744799999997</v>
      </c>
      <c r="F108" s="175">
        <v>4.2259215680000004</v>
      </c>
      <c r="G108" s="175">
        <v>4.3571724239999998</v>
      </c>
      <c r="H108" s="175">
        <v>4.3111913680000002</v>
      </c>
      <c r="I108" s="175">
        <v>4.3557849980099999</v>
      </c>
      <c r="J108" s="175">
        <v>4.4819336135799999</v>
      </c>
      <c r="K108" s="175">
        <v>4.5064102106300004</v>
      </c>
      <c r="L108" s="175">
        <v>4.3770549254900004</v>
      </c>
      <c r="M108" s="175">
        <v>4.3013108407100002</v>
      </c>
      <c r="N108" s="175">
        <v>8.0852744912300007</v>
      </c>
      <c r="O108" s="10"/>
      <c r="P108" s="10"/>
      <c r="Q108" s="10"/>
    </row>
    <row r="109" spans="1:17" ht="13" outlineLevel="4" x14ac:dyDescent="0.3">
      <c r="A109" s="174" t="s">
        <v>103</v>
      </c>
      <c r="B109" s="175">
        <v>20.401384690299999</v>
      </c>
      <c r="C109" s="175">
        <v>20.343482365290001</v>
      </c>
      <c r="D109" s="175">
        <v>20.522972590809999</v>
      </c>
      <c r="E109" s="175">
        <v>20.970340408790001</v>
      </c>
      <c r="F109" s="175">
        <v>20.783903655380001</v>
      </c>
      <c r="G109" s="175">
        <v>21.0930911566</v>
      </c>
      <c r="H109" s="175">
        <v>21.286082517010001</v>
      </c>
      <c r="I109" s="175">
        <v>21.544272898589998</v>
      </c>
      <c r="J109" s="175">
        <v>21.629077193330001</v>
      </c>
      <c r="K109" s="175">
        <v>21.514682013150001</v>
      </c>
      <c r="L109" s="175">
        <v>21.1233823462</v>
      </c>
      <c r="M109" s="175">
        <v>21.155615334970001</v>
      </c>
      <c r="N109" s="175">
        <v>21.577228281509999</v>
      </c>
      <c r="O109" s="10"/>
      <c r="P109" s="10"/>
      <c r="Q109" s="10"/>
    </row>
    <row r="110" spans="1:17" ht="13" outlineLevel="4" x14ac:dyDescent="0.3">
      <c r="A110" s="174" t="s">
        <v>104</v>
      </c>
      <c r="B110" s="175">
        <v>80.927352987519996</v>
      </c>
      <c r="C110" s="175">
        <v>79.988829182390006</v>
      </c>
      <c r="D110" s="175">
        <v>75.554898670949996</v>
      </c>
      <c r="E110" s="175">
        <v>67.196280777569996</v>
      </c>
      <c r="F110" s="175">
        <v>64.450617012389998</v>
      </c>
      <c r="G110" s="175">
        <v>66.081328415160002</v>
      </c>
      <c r="H110" s="175">
        <v>65.732679501329997</v>
      </c>
      <c r="I110" s="175">
        <v>67.191421674980006</v>
      </c>
      <c r="J110" s="175">
        <v>62.914482282020003</v>
      </c>
      <c r="K110" s="175">
        <v>52.412509361849999</v>
      </c>
      <c r="L110" s="175">
        <v>48.23488293722</v>
      </c>
      <c r="M110" s="175">
        <v>48.070205143030002</v>
      </c>
      <c r="N110" s="175">
        <v>48.108513283420002</v>
      </c>
      <c r="O110" s="10"/>
      <c r="P110" s="10"/>
      <c r="Q110" s="10"/>
    </row>
    <row r="111" spans="1:17" ht="13" outlineLevel="4" x14ac:dyDescent="0.3">
      <c r="A111" s="174" t="s">
        <v>105</v>
      </c>
      <c r="B111" s="175">
        <v>5.99848447E-3</v>
      </c>
      <c r="C111" s="175">
        <v>5.9814598299999999E-3</v>
      </c>
      <c r="D111" s="175">
        <v>6.1486887499999998E-3</v>
      </c>
      <c r="E111" s="175">
        <v>6.3118214600000003E-3</v>
      </c>
      <c r="F111" s="175">
        <v>6.3838206500000001E-3</v>
      </c>
      <c r="G111" s="175">
        <v>6.5176000899999998E-3</v>
      </c>
      <c r="H111" s="175">
        <v>6.5236027099999996E-3</v>
      </c>
      <c r="I111" s="175">
        <v>6.6027309999999997E-3</v>
      </c>
      <c r="J111" s="175">
        <v>6.7769247699999997E-3</v>
      </c>
      <c r="K111" s="175">
        <v>6.7730254600000001E-3</v>
      </c>
      <c r="L111" s="175">
        <v>6.7915513100000003E-3</v>
      </c>
      <c r="M111" s="175">
        <v>6.8436408799999997E-3</v>
      </c>
      <c r="N111" s="175">
        <v>1.227677529E-2</v>
      </c>
      <c r="O111" s="10"/>
      <c r="P111" s="10"/>
      <c r="Q111" s="10"/>
    </row>
    <row r="112" spans="1:17" ht="13" outlineLevel="3" x14ac:dyDescent="0.3">
      <c r="A112" s="176" t="s">
        <v>157</v>
      </c>
      <c r="B112" s="175">
        <f t="shared" ref="B112:N112" si="20">SUM(B$113:B$114)</f>
        <v>32.463972362509999</v>
      </c>
      <c r="C112" s="175">
        <f t="shared" si="20"/>
        <v>32.345001555940001</v>
      </c>
      <c r="D112" s="175">
        <f t="shared" si="20"/>
        <v>32.74519176599</v>
      </c>
      <c r="E112" s="175">
        <f t="shared" si="20"/>
        <v>33.662806870620003</v>
      </c>
      <c r="F112" s="175">
        <f t="shared" si="20"/>
        <v>34.036687743190001</v>
      </c>
      <c r="G112" s="175">
        <f t="shared" si="20"/>
        <v>34.763851912509999</v>
      </c>
      <c r="H112" s="175">
        <f t="shared" si="20"/>
        <v>34.803491221259996</v>
      </c>
      <c r="I112" s="175">
        <f t="shared" si="20"/>
        <v>35.242505014449996</v>
      </c>
      <c r="J112" s="175">
        <f t="shared" si="20"/>
        <v>35.41568732831</v>
      </c>
      <c r="K112" s="175">
        <f t="shared" si="20"/>
        <v>35.403965351890001</v>
      </c>
      <c r="L112" s="175">
        <f t="shared" si="20"/>
        <v>35.455878879149999</v>
      </c>
      <c r="M112" s="175">
        <f t="shared" si="20"/>
        <v>35.692834970749999</v>
      </c>
      <c r="N112" s="175">
        <f t="shared" si="20"/>
        <v>36.060648373310002</v>
      </c>
      <c r="O112" s="10"/>
      <c r="P112" s="10"/>
      <c r="Q112" s="10"/>
    </row>
    <row r="113" spans="1:17" ht="13" outlineLevel="4" x14ac:dyDescent="0.3">
      <c r="A113" s="174" t="s">
        <v>158</v>
      </c>
      <c r="B113" s="175">
        <v>31.33548</v>
      </c>
      <c r="C113" s="175">
        <v>31.246545000000001</v>
      </c>
      <c r="D113" s="175">
        <v>31.521352499999999</v>
      </c>
      <c r="E113" s="175">
        <v>32.357655000000001</v>
      </c>
      <c r="F113" s="175">
        <v>32.726759999999999</v>
      </c>
      <c r="G113" s="175">
        <v>33.412582499999999</v>
      </c>
      <c r="H113" s="175">
        <v>33.443354999999997</v>
      </c>
      <c r="I113" s="175">
        <v>33.849007499999999</v>
      </c>
      <c r="J113" s="175">
        <v>33.981832500000003</v>
      </c>
      <c r="K113" s="175">
        <v>33.96228</v>
      </c>
      <c r="L113" s="175">
        <v>34.055174999999998</v>
      </c>
      <c r="M113" s="175">
        <v>34.316369999999999</v>
      </c>
      <c r="N113" s="175">
        <v>34.682175000000001</v>
      </c>
      <c r="O113" s="10"/>
      <c r="P113" s="10"/>
      <c r="Q113" s="10"/>
    </row>
    <row r="114" spans="1:17" ht="13" outlineLevel="4" x14ac:dyDescent="0.3">
      <c r="A114" s="174" t="s">
        <v>111</v>
      </c>
      <c r="B114" s="175">
        <v>1.1284923625100001</v>
      </c>
      <c r="C114" s="175">
        <v>1.0984565559399999</v>
      </c>
      <c r="D114" s="175">
        <v>1.2238392659899999</v>
      </c>
      <c r="E114" s="175">
        <v>1.30515187062</v>
      </c>
      <c r="F114" s="175">
        <v>1.30992774319</v>
      </c>
      <c r="G114" s="175">
        <v>1.35126941251</v>
      </c>
      <c r="H114" s="175">
        <v>1.3601362212599999</v>
      </c>
      <c r="I114" s="175">
        <v>1.3934975144499999</v>
      </c>
      <c r="J114" s="175">
        <v>1.4338548283100001</v>
      </c>
      <c r="K114" s="175">
        <v>1.4416853518899999</v>
      </c>
      <c r="L114" s="175">
        <v>1.4007038791499999</v>
      </c>
      <c r="M114" s="175">
        <v>1.3764649707500001</v>
      </c>
      <c r="N114" s="175">
        <v>1.3784733733100001</v>
      </c>
      <c r="O114" s="10"/>
      <c r="P114" s="10"/>
      <c r="Q114" s="10"/>
    </row>
    <row r="115" spans="1:17" ht="13" outlineLevel="3" x14ac:dyDescent="0.3">
      <c r="A115" s="176" t="s">
        <v>119</v>
      </c>
      <c r="B115" s="175">
        <f t="shared" ref="B115:N115" si="21">SUM(B$116:B$116)</f>
        <v>7.4799616972800003</v>
      </c>
      <c r="C115" s="175">
        <f t="shared" si="21"/>
        <v>7.4587323944700001</v>
      </c>
      <c r="D115" s="175">
        <f t="shared" si="21"/>
        <v>7.3837262102799999</v>
      </c>
      <c r="E115" s="175">
        <f t="shared" si="21"/>
        <v>7.5796260749500002</v>
      </c>
      <c r="F115" s="175">
        <f t="shared" si="21"/>
        <v>7.6660871575699998</v>
      </c>
      <c r="G115" s="175">
        <f t="shared" si="21"/>
        <v>7.6776974332599996</v>
      </c>
      <c r="H115" s="175">
        <f t="shared" si="21"/>
        <v>7.6847684803499998</v>
      </c>
      <c r="I115" s="175">
        <f t="shared" si="21"/>
        <v>7.7779811842099997</v>
      </c>
      <c r="J115" s="175">
        <f t="shared" si="21"/>
        <v>7.6569227578100003</v>
      </c>
      <c r="K115" s="175">
        <f t="shared" si="21"/>
        <v>7.6525171101099998</v>
      </c>
      <c r="L115" s="175">
        <f t="shared" si="21"/>
        <v>7.673448584</v>
      </c>
      <c r="M115" s="175">
        <f t="shared" si="21"/>
        <v>7.57923028072</v>
      </c>
      <c r="N115" s="175">
        <f t="shared" si="21"/>
        <v>7.6600232181100001</v>
      </c>
      <c r="O115" s="10"/>
      <c r="P115" s="10"/>
      <c r="Q115" s="10"/>
    </row>
    <row r="116" spans="1:17" ht="13" outlineLevel="4" x14ac:dyDescent="0.3">
      <c r="A116" s="174" t="s">
        <v>159</v>
      </c>
      <c r="B116" s="175">
        <v>7.4799616972800003</v>
      </c>
      <c r="C116" s="175">
        <v>7.4587323944700001</v>
      </c>
      <c r="D116" s="175">
        <v>7.3837262102799999</v>
      </c>
      <c r="E116" s="175">
        <v>7.5796260749500002</v>
      </c>
      <c r="F116" s="175">
        <v>7.6660871575699998</v>
      </c>
      <c r="G116" s="175">
        <v>7.6776974332599996</v>
      </c>
      <c r="H116" s="175">
        <v>7.6847684803499998</v>
      </c>
      <c r="I116" s="175">
        <v>7.7779811842099997</v>
      </c>
      <c r="J116" s="175">
        <v>7.6569227578100003</v>
      </c>
      <c r="K116" s="175">
        <v>7.6525171101099998</v>
      </c>
      <c r="L116" s="175">
        <v>7.673448584</v>
      </c>
      <c r="M116" s="175">
        <v>7.57923028072</v>
      </c>
      <c r="N116" s="175">
        <v>7.6600232181100001</v>
      </c>
      <c r="O116" s="10"/>
      <c r="P116" s="10"/>
      <c r="Q116" s="10"/>
    </row>
    <row r="117" spans="1:17" ht="13" outlineLevel="3" x14ac:dyDescent="0.3">
      <c r="A117" s="176" t="s">
        <v>163</v>
      </c>
      <c r="B117" s="175">
        <f t="shared" ref="B117:N117" si="22">SUM(B$118:B$119)</f>
        <v>57.923159999999996</v>
      </c>
      <c r="C117" s="175">
        <f t="shared" si="22"/>
        <v>57.758764999999997</v>
      </c>
      <c r="D117" s="175">
        <f t="shared" si="22"/>
        <v>58.266742499999999</v>
      </c>
      <c r="E117" s="175">
        <f t="shared" si="22"/>
        <v>59.812635</v>
      </c>
      <c r="F117" s="175">
        <f t="shared" si="22"/>
        <v>60.49492</v>
      </c>
      <c r="G117" s="175">
        <f t="shared" si="22"/>
        <v>61.762652500000002</v>
      </c>
      <c r="H117" s="175">
        <f t="shared" si="22"/>
        <v>61.819535000000002</v>
      </c>
      <c r="I117" s="175">
        <f t="shared" si="22"/>
        <v>62.569377500000002</v>
      </c>
      <c r="J117" s="175">
        <f t="shared" si="22"/>
        <v>33.981832500000003</v>
      </c>
      <c r="K117" s="175">
        <f t="shared" si="22"/>
        <v>33.96228</v>
      </c>
      <c r="L117" s="175">
        <f t="shared" si="22"/>
        <v>34.055174999999998</v>
      </c>
      <c r="M117" s="175">
        <f t="shared" si="22"/>
        <v>34.316369999999999</v>
      </c>
      <c r="N117" s="175">
        <f t="shared" si="22"/>
        <v>34.682175000000001</v>
      </c>
      <c r="O117" s="10"/>
      <c r="P117" s="10"/>
      <c r="Q117" s="10"/>
    </row>
    <row r="118" spans="1:17" ht="13" outlineLevel="4" x14ac:dyDescent="0.3">
      <c r="A118" s="174" t="s">
        <v>164</v>
      </c>
      <c r="B118" s="175">
        <v>26.587679999999999</v>
      </c>
      <c r="C118" s="175">
        <v>26.512219999999999</v>
      </c>
      <c r="D118" s="175">
        <v>26.74539</v>
      </c>
      <c r="E118" s="175">
        <v>27.454979999999999</v>
      </c>
      <c r="F118" s="175">
        <v>27.768160000000002</v>
      </c>
      <c r="G118" s="175">
        <v>28.350069999999999</v>
      </c>
      <c r="H118" s="175">
        <v>28.376180000000002</v>
      </c>
      <c r="I118" s="175">
        <v>28.720369999999999</v>
      </c>
      <c r="J118" s="175">
        <v>0</v>
      </c>
      <c r="K118" s="175">
        <v>0</v>
      </c>
      <c r="L118" s="175">
        <v>0</v>
      </c>
      <c r="M118" s="175">
        <v>0</v>
      </c>
      <c r="N118" s="175">
        <v>0</v>
      </c>
      <c r="O118" s="10"/>
      <c r="P118" s="10"/>
      <c r="Q118" s="10"/>
    </row>
    <row r="119" spans="1:17" ht="13" outlineLevel="4" x14ac:dyDescent="0.3">
      <c r="A119" s="174" t="s">
        <v>165</v>
      </c>
      <c r="B119" s="175">
        <v>31.33548</v>
      </c>
      <c r="C119" s="175">
        <v>31.246545000000001</v>
      </c>
      <c r="D119" s="175">
        <v>31.521352499999999</v>
      </c>
      <c r="E119" s="175">
        <v>32.357655000000001</v>
      </c>
      <c r="F119" s="175">
        <v>32.726759999999999</v>
      </c>
      <c r="G119" s="175">
        <v>33.412582499999999</v>
      </c>
      <c r="H119" s="175">
        <v>33.443354999999997</v>
      </c>
      <c r="I119" s="175">
        <v>33.849007499999999</v>
      </c>
      <c r="J119" s="175">
        <v>33.981832500000003</v>
      </c>
      <c r="K119" s="175">
        <v>33.96228</v>
      </c>
      <c r="L119" s="175">
        <v>34.055174999999998</v>
      </c>
      <c r="M119" s="175">
        <v>34.316369999999999</v>
      </c>
      <c r="N119" s="175">
        <v>34.682175000000001</v>
      </c>
      <c r="O119" s="10"/>
      <c r="P119" s="10"/>
      <c r="Q119" s="10"/>
    </row>
    <row r="120" spans="1:17" ht="13" outlineLevel="3" x14ac:dyDescent="0.3">
      <c r="A120" s="176" t="s">
        <v>137</v>
      </c>
      <c r="B120" s="175">
        <f t="shared" ref="B120:N120" si="23">SUM(B$121:B$121)</f>
        <v>4.1503421753399996</v>
      </c>
      <c r="C120" s="175">
        <f t="shared" si="23"/>
        <v>4.1022101805700002</v>
      </c>
      <c r="D120" s="175">
        <f t="shared" si="23"/>
        <v>4.1310694889499997</v>
      </c>
      <c r="E120" s="175">
        <f t="shared" si="23"/>
        <v>4.2294423740799996</v>
      </c>
      <c r="F120" s="175">
        <f t="shared" si="23"/>
        <v>4.2579164551500002</v>
      </c>
      <c r="G120" s="175">
        <f t="shared" si="23"/>
        <v>4.36564906094</v>
      </c>
      <c r="H120" s="175">
        <f t="shared" si="23"/>
        <v>4.3426156437800003</v>
      </c>
      <c r="I120" s="175">
        <f t="shared" si="23"/>
        <v>4.4389871386299999</v>
      </c>
      <c r="J120" s="175">
        <f t="shared" si="23"/>
        <v>4.5174063075999999</v>
      </c>
      <c r="K120" s="175">
        <f t="shared" si="23"/>
        <v>4.5475507929400001</v>
      </c>
      <c r="L120" s="175">
        <f t="shared" si="23"/>
        <v>4.4768241166499996</v>
      </c>
      <c r="M120" s="175">
        <f t="shared" si="23"/>
        <v>4.4615398767899999</v>
      </c>
      <c r="N120" s="175">
        <f t="shared" si="23"/>
        <v>4.4650953701700002</v>
      </c>
      <c r="O120" s="10"/>
      <c r="P120" s="10"/>
      <c r="Q120" s="10"/>
    </row>
    <row r="121" spans="1:17" ht="13" outlineLevel="4" x14ac:dyDescent="0.3">
      <c r="A121" s="174" t="s">
        <v>104</v>
      </c>
      <c r="B121" s="175">
        <v>4.1503421753399996</v>
      </c>
      <c r="C121" s="175">
        <v>4.1022101805700002</v>
      </c>
      <c r="D121" s="175">
        <v>4.1310694889499997</v>
      </c>
      <c r="E121" s="175">
        <v>4.2294423740799996</v>
      </c>
      <c r="F121" s="175">
        <v>4.2579164551500002</v>
      </c>
      <c r="G121" s="175">
        <v>4.36564906094</v>
      </c>
      <c r="H121" s="175">
        <v>4.3426156437800003</v>
      </c>
      <c r="I121" s="175">
        <v>4.4389871386299999</v>
      </c>
      <c r="J121" s="175">
        <v>4.5174063075999999</v>
      </c>
      <c r="K121" s="175">
        <v>4.5475507929400001</v>
      </c>
      <c r="L121" s="175">
        <v>4.4768241166499996</v>
      </c>
      <c r="M121" s="175">
        <v>4.4615398767899999</v>
      </c>
      <c r="N121" s="175">
        <v>4.4650953701700002</v>
      </c>
      <c r="O121" s="10"/>
      <c r="P121" s="10"/>
      <c r="Q121" s="10"/>
    </row>
    <row r="122" spans="1:17" x14ac:dyDescent="0.25">
      <c r="B122" s="9"/>
      <c r="C122" s="9"/>
      <c r="D122" s="9"/>
      <c r="E122" s="9"/>
      <c r="F122" s="9"/>
      <c r="G122" s="9"/>
      <c r="H122" s="9"/>
      <c r="I122" s="9"/>
      <c r="J122" s="9"/>
      <c r="K122" s="9"/>
      <c r="L122" s="9"/>
      <c r="M122" s="9"/>
      <c r="N122" s="9"/>
      <c r="O122" s="10"/>
      <c r="P122" s="10"/>
      <c r="Q122" s="10"/>
    </row>
    <row r="123" spans="1:17" x14ac:dyDescent="0.25">
      <c r="B123" s="9"/>
      <c r="C123" s="9"/>
      <c r="D123" s="9"/>
      <c r="E123" s="9"/>
      <c r="F123" s="9"/>
      <c r="G123" s="9"/>
      <c r="H123" s="9"/>
      <c r="I123" s="9"/>
      <c r="J123" s="9"/>
      <c r="K123" s="9"/>
      <c r="L123" s="9"/>
      <c r="M123" s="9"/>
      <c r="N123" s="9"/>
      <c r="O123" s="10"/>
      <c r="P123" s="10"/>
      <c r="Q123" s="10"/>
    </row>
    <row r="124" spans="1:17" x14ac:dyDescent="0.25">
      <c r="B124" s="9"/>
      <c r="C124" s="9"/>
      <c r="D124" s="9"/>
      <c r="E124" s="9"/>
      <c r="F124" s="9"/>
      <c r="G124" s="9"/>
      <c r="H124" s="9"/>
      <c r="I124" s="9"/>
      <c r="J124" s="9"/>
      <c r="K124" s="9"/>
      <c r="L124" s="9"/>
      <c r="M124" s="9"/>
      <c r="N124" s="9"/>
      <c r="O124" s="10"/>
      <c r="P124" s="10"/>
      <c r="Q124" s="10"/>
    </row>
    <row r="125" spans="1:17" x14ac:dyDescent="0.25">
      <c r="B125" s="9"/>
      <c r="C125" s="9"/>
      <c r="D125" s="9"/>
      <c r="E125" s="9"/>
      <c r="F125" s="9"/>
      <c r="G125" s="9"/>
      <c r="H125" s="9"/>
      <c r="I125" s="9"/>
      <c r="J125" s="9"/>
      <c r="K125" s="9"/>
      <c r="L125" s="9"/>
      <c r="M125" s="9"/>
      <c r="N125" s="9"/>
      <c r="O125" s="10"/>
      <c r="P125" s="10"/>
      <c r="Q125" s="10"/>
    </row>
    <row r="126" spans="1:17" x14ac:dyDescent="0.25">
      <c r="B126" s="9"/>
      <c r="C126" s="9"/>
      <c r="D126" s="9"/>
      <c r="E126" s="9"/>
      <c r="F126" s="9"/>
      <c r="G126" s="9"/>
      <c r="H126" s="9"/>
      <c r="I126" s="9"/>
      <c r="J126" s="9"/>
      <c r="K126" s="9"/>
      <c r="L126" s="9"/>
      <c r="M126" s="9"/>
      <c r="N126" s="9"/>
      <c r="O126" s="10"/>
      <c r="P126" s="10"/>
      <c r="Q126" s="10"/>
    </row>
    <row r="127" spans="1:17" x14ac:dyDescent="0.25">
      <c r="B127" s="9"/>
      <c r="C127" s="9"/>
      <c r="D127" s="9"/>
      <c r="E127" s="9"/>
      <c r="F127" s="9"/>
      <c r="G127" s="9"/>
      <c r="H127" s="9"/>
      <c r="I127" s="9"/>
      <c r="J127" s="9"/>
      <c r="K127" s="9"/>
      <c r="L127" s="9"/>
      <c r="M127" s="9"/>
      <c r="N127" s="9"/>
      <c r="O127" s="10"/>
      <c r="P127" s="10"/>
      <c r="Q127" s="10"/>
    </row>
    <row r="128" spans="1:17" x14ac:dyDescent="0.25">
      <c r="B128" s="9"/>
      <c r="C128" s="9"/>
      <c r="D128" s="9"/>
      <c r="E128" s="9"/>
      <c r="F128" s="9"/>
      <c r="G128" s="9"/>
      <c r="H128" s="9"/>
      <c r="I128" s="9"/>
      <c r="J128" s="9"/>
      <c r="K128" s="9"/>
      <c r="L128" s="9"/>
      <c r="M128" s="9"/>
      <c r="N128" s="9"/>
      <c r="O128" s="10"/>
      <c r="P128" s="10"/>
      <c r="Q128" s="10"/>
    </row>
    <row r="129" spans="2:17" x14ac:dyDescent="0.25">
      <c r="B129" s="9"/>
      <c r="C129" s="9"/>
      <c r="D129" s="9"/>
      <c r="E129" s="9"/>
      <c r="F129" s="9"/>
      <c r="G129" s="9"/>
      <c r="H129" s="9"/>
      <c r="I129" s="9"/>
      <c r="J129" s="9"/>
      <c r="K129" s="9"/>
      <c r="L129" s="9"/>
      <c r="M129" s="9"/>
      <c r="N129" s="9"/>
      <c r="O129" s="10"/>
      <c r="P129" s="10"/>
      <c r="Q129" s="10"/>
    </row>
    <row r="130" spans="2:17" x14ac:dyDescent="0.25">
      <c r="B130" s="9"/>
      <c r="C130" s="9"/>
      <c r="D130" s="9"/>
      <c r="E130" s="9"/>
      <c r="F130" s="9"/>
      <c r="G130" s="9"/>
      <c r="H130" s="9"/>
      <c r="I130" s="9"/>
      <c r="J130" s="9"/>
      <c r="K130" s="9"/>
      <c r="L130" s="9"/>
      <c r="M130" s="9"/>
      <c r="N130" s="9"/>
      <c r="O130" s="10"/>
      <c r="P130" s="10"/>
      <c r="Q130" s="10"/>
    </row>
    <row r="131" spans="2:17" x14ac:dyDescent="0.25">
      <c r="B131" s="9"/>
      <c r="C131" s="9"/>
      <c r="D131" s="9"/>
      <c r="E131" s="9"/>
      <c r="F131" s="9"/>
      <c r="G131" s="9"/>
      <c r="H131" s="9"/>
      <c r="I131" s="9"/>
      <c r="J131" s="9"/>
      <c r="K131" s="9"/>
      <c r="L131" s="9"/>
      <c r="M131" s="9"/>
      <c r="N131" s="9"/>
      <c r="O131" s="10"/>
      <c r="P131" s="10"/>
      <c r="Q131" s="10"/>
    </row>
    <row r="132" spans="2:17" x14ac:dyDescent="0.25">
      <c r="B132" s="9"/>
      <c r="C132" s="9"/>
      <c r="D132" s="9"/>
      <c r="E132" s="9"/>
      <c r="F132" s="9"/>
      <c r="G132" s="9"/>
      <c r="H132" s="9"/>
      <c r="I132" s="9"/>
      <c r="J132" s="9"/>
      <c r="K132" s="9"/>
      <c r="L132" s="9"/>
      <c r="M132" s="9"/>
      <c r="N132" s="9"/>
      <c r="O132" s="10"/>
      <c r="P132" s="10"/>
      <c r="Q132" s="10"/>
    </row>
    <row r="133" spans="2:17" x14ac:dyDescent="0.25">
      <c r="B133" s="9"/>
      <c r="C133" s="9"/>
      <c r="D133" s="9"/>
      <c r="E133" s="9"/>
      <c r="F133" s="9"/>
      <c r="G133" s="9"/>
      <c r="H133" s="9"/>
      <c r="I133" s="9"/>
      <c r="J133" s="9"/>
      <c r="K133" s="9"/>
      <c r="L133" s="9"/>
      <c r="M133" s="9"/>
      <c r="N133" s="9"/>
      <c r="O133" s="10"/>
      <c r="P133" s="10"/>
      <c r="Q133" s="10"/>
    </row>
    <row r="134" spans="2:17" x14ac:dyDescent="0.25">
      <c r="B134" s="9"/>
      <c r="C134" s="9"/>
      <c r="D134" s="9"/>
      <c r="E134" s="9"/>
      <c r="F134" s="9"/>
      <c r="G134" s="9"/>
      <c r="H134" s="9"/>
      <c r="I134" s="9"/>
      <c r="J134" s="9"/>
      <c r="K134" s="9"/>
      <c r="L134" s="9"/>
      <c r="M134" s="9"/>
      <c r="N134" s="9"/>
      <c r="O134" s="10"/>
      <c r="P134" s="10"/>
      <c r="Q134" s="10"/>
    </row>
    <row r="135" spans="2:17" x14ac:dyDescent="0.25">
      <c r="B135" s="9"/>
      <c r="C135" s="9"/>
      <c r="D135" s="9"/>
      <c r="E135" s="9"/>
      <c r="F135" s="9"/>
      <c r="G135" s="9"/>
      <c r="H135" s="9"/>
      <c r="I135" s="9"/>
      <c r="J135" s="9"/>
      <c r="K135" s="9"/>
      <c r="L135" s="9"/>
      <c r="M135" s="9"/>
      <c r="N135" s="9"/>
      <c r="O135" s="10"/>
      <c r="P135" s="10"/>
      <c r="Q135" s="10"/>
    </row>
    <row r="136" spans="2:17" x14ac:dyDescent="0.25">
      <c r="B136" s="9"/>
      <c r="C136" s="9"/>
      <c r="D136" s="9"/>
      <c r="E136" s="9"/>
      <c r="F136" s="9"/>
      <c r="G136" s="9"/>
      <c r="H136" s="9"/>
      <c r="I136" s="9"/>
      <c r="J136" s="9"/>
      <c r="K136" s="9"/>
      <c r="L136" s="9"/>
      <c r="M136" s="9"/>
      <c r="N136" s="9"/>
      <c r="O136" s="10"/>
      <c r="P136" s="10"/>
      <c r="Q136" s="10"/>
    </row>
    <row r="137" spans="2:17" x14ac:dyDescent="0.25">
      <c r="B137" s="9"/>
      <c r="C137" s="9"/>
      <c r="D137" s="9"/>
      <c r="E137" s="9"/>
      <c r="F137" s="9"/>
      <c r="G137" s="9"/>
      <c r="H137" s="9"/>
      <c r="I137" s="9"/>
      <c r="J137" s="9"/>
      <c r="K137" s="9"/>
      <c r="L137" s="9"/>
      <c r="M137" s="9"/>
      <c r="N137" s="9"/>
      <c r="O137" s="10"/>
      <c r="P137" s="10"/>
      <c r="Q137" s="10"/>
    </row>
    <row r="138" spans="2:17" x14ac:dyDescent="0.25">
      <c r="B138" s="9"/>
      <c r="C138" s="9"/>
      <c r="D138" s="9"/>
      <c r="E138" s="9"/>
      <c r="F138" s="9"/>
      <c r="G138" s="9"/>
      <c r="H138" s="9"/>
      <c r="I138" s="9"/>
      <c r="J138" s="9"/>
      <c r="K138" s="9"/>
      <c r="L138" s="9"/>
      <c r="M138" s="9"/>
      <c r="N138" s="9"/>
      <c r="O138" s="10"/>
      <c r="P138" s="10"/>
      <c r="Q138" s="10"/>
    </row>
    <row r="139" spans="2:17" x14ac:dyDescent="0.25">
      <c r="B139" s="9"/>
      <c r="C139" s="9"/>
      <c r="D139" s="9"/>
      <c r="E139" s="9"/>
      <c r="F139" s="9"/>
      <c r="G139" s="9"/>
      <c r="H139" s="9"/>
      <c r="I139" s="9"/>
      <c r="J139" s="9"/>
      <c r="K139" s="9"/>
      <c r="L139" s="9"/>
      <c r="M139" s="9"/>
      <c r="N139" s="9"/>
      <c r="O139" s="10"/>
      <c r="P139" s="10"/>
      <c r="Q139" s="10"/>
    </row>
    <row r="140" spans="2:17" x14ac:dyDescent="0.25">
      <c r="B140" s="9"/>
      <c r="C140" s="9"/>
      <c r="D140" s="9"/>
      <c r="E140" s="9"/>
      <c r="F140" s="9"/>
      <c r="G140" s="9"/>
      <c r="H140" s="9"/>
      <c r="I140" s="9"/>
      <c r="J140" s="9"/>
      <c r="K140" s="9"/>
      <c r="L140" s="9"/>
      <c r="M140" s="9"/>
      <c r="N140" s="9"/>
      <c r="O140" s="10"/>
      <c r="P140" s="10"/>
      <c r="Q140" s="10"/>
    </row>
    <row r="141" spans="2:17" x14ac:dyDescent="0.25">
      <c r="B141" s="9"/>
      <c r="C141" s="9"/>
      <c r="D141" s="9"/>
      <c r="E141" s="9"/>
      <c r="F141" s="9"/>
      <c r="G141" s="9"/>
      <c r="H141" s="9"/>
      <c r="I141" s="9"/>
      <c r="J141" s="9"/>
      <c r="K141" s="9"/>
      <c r="L141" s="9"/>
      <c r="M141" s="9"/>
      <c r="N141" s="9"/>
      <c r="O141" s="10"/>
      <c r="P141" s="10"/>
      <c r="Q141" s="10"/>
    </row>
    <row r="142" spans="2:17" x14ac:dyDescent="0.25">
      <c r="B142" s="9"/>
      <c r="C142" s="9"/>
      <c r="D142" s="9"/>
      <c r="E142" s="9"/>
      <c r="F142" s="9"/>
      <c r="G142" s="9"/>
      <c r="H142" s="9"/>
      <c r="I142" s="9"/>
      <c r="J142" s="9"/>
      <c r="K142" s="9"/>
      <c r="L142" s="9"/>
      <c r="M142" s="9"/>
      <c r="N142" s="9"/>
      <c r="O142" s="10"/>
      <c r="P142" s="10"/>
      <c r="Q142" s="10"/>
    </row>
    <row r="143" spans="2:17" x14ac:dyDescent="0.25">
      <c r="B143" s="9"/>
      <c r="C143" s="9"/>
      <c r="D143" s="9"/>
      <c r="E143" s="9"/>
      <c r="F143" s="9"/>
      <c r="G143" s="9"/>
      <c r="H143" s="9"/>
      <c r="I143" s="9"/>
      <c r="J143" s="9"/>
      <c r="K143" s="9"/>
      <c r="L143" s="9"/>
      <c r="M143" s="9"/>
      <c r="N143" s="9"/>
      <c r="O143" s="10"/>
      <c r="P143" s="10"/>
      <c r="Q143" s="10"/>
    </row>
    <row r="144" spans="2:17" x14ac:dyDescent="0.25">
      <c r="B144" s="9"/>
      <c r="C144" s="9"/>
      <c r="D144" s="9"/>
      <c r="E144" s="9"/>
      <c r="F144" s="9"/>
      <c r="G144" s="9"/>
      <c r="H144" s="9"/>
      <c r="I144" s="9"/>
      <c r="J144" s="9"/>
      <c r="K144" s="9"/>
      <c r="L144" s="9"/>
      <c r="M144" s="9"/>
      <c r="N144" s="9"/>
      <c r="O144" s="10"/>
      <c r="P144" s="10"/>
      <c r="Q144" s="10"/>
    </row>
    <row r="145" spans="2:17" x14ac:dyDescent="0.25">
      <c r="B145" s="9"/>
      <c r="C145" s="9"/>
      <c r="D145" s="9"/>
      <c r="E145" s="9"/>
      <c r="F145" s="9"/>
      <c r="G145" s="9"/>
      <c r="H145" s="9"/>
      <c r="I145" s="9"/>
      <c r="J145" s="9"/>
      <c r="K145" s="9"/>
      <c r="L145" s="9"/>
      <c r="M145" s="9"/>
      <c r="N145" s="9"/>
      <c r="O145" s="10"/>
      <c r="P145" s="10"/>
      <c r="Q145" s="10"/>
    </row>
    <row r="146" spans="2:17" x14ac:dyDescent="0.25">
      <c r="B146" s="9"/>
      <c r="C146" s="9"/>
      <c r="D146" s="9"/>
      <c r="E146" s="9"/>
      <c r="F146" s="9"/>
      <c r="G146" s="9"/>
      <c r="H146" s="9"/>
      <c r="I146" s="9"/>
      <c r="J146" s="9"/>
      <c r="K146" s="9"/>
      <c r="L146" s="9"/>
      <c r="M146" s="9"/>
      <c r="N146" s="9"/>
      <c r="O146" s="10"/>
      <c r="P146" s="10"/>
      <c r="Q146" s="10"/>
    </row>
    <row r="147" spans="2:17" x14ac:dyDescent="0.25">
      <c r="B147" s="9"/>
      <c r="C147" s="9"/>
      <c r="D147" s="9"/>
      <c r="E147" s="9"/>
      <c r="F147" s="9"/>
      <c r="G147" s="9"/>
      <c r="H147" s="9"/>
      <c r="I147" s="9"/>
      <c r="J147" s="9"/>
      <c r="K147" s="9"/>
      <c r="L147" s="9"/>
      <c r="M147" s="9"/>
      <c r="N147" s="9"/>
      <c r="O147" s="10"/>
      <c r="P147" s="10"/>
      <c r="Q147" s="10"/>
    </row>
    <row r="148" spans="2:17" x14ac:dyDescent="0.25">
      <c r="B148" s="9"/>
      <c r="C148" s="9"/>
      <c r="D148" s="9"/>
      <c r="E148" s="9"/>
      <c r="F148" s="9"/>
      <c r="G148" s="9"/>
      <c r="H148" s="9"/>
      <c r="I148" s="9"/>
      <c r="J148" s="9"/>
      <c r="K148" s="9"/>
      <c r="L148" s="9"/>
      <c r="M148" s="9"/>
      <c r="N148" s="9"/>
      <c r="O148" s="10"/>
      <c r="P148" s="10"/>
      <c r="Q148" s="10"/>
    </row>
    <row r="149" spans="2:17" x14ac:dyDescent="0.25">
      <c r="B149" s="9"/>
      <c r="C149" s="9"/>
      <c r="D149" s="9"/>
      <c r="E149" s="9"/>
      <c r="F149" s="9"/>
      <c r="G149" s="9"/>
      <c r="H149" s="9"/>
      <c r="I149" s="9"/>
      <c r="J149" s="9"/>
      <c r="K149" s="9"/>
      <c r="L149" s="9"/>
      <c r="M149" s="9"/>
      <c r="N149" s="9"/>
      <c r="O149" s="10"/>
      <c r="P149" s="10"/>
      <c r="Q149" s="10"/>
    </row>
    <row r="150" spans="2:17" x14ac:dyDescent="0.25">
      <c r="B150" s="9"/>
      <c r="C150" s="9"/>
      <c r="D150" s="9"/>
      <c r="E150" s="9"/>
      <c r="F150" s="9"/>
      <c r="G150" s="9"/>
      <c r="H150" s="9"/>
      <c r="I150" s="9"/>
      <c r="J150" s="9"/>
      <c r="K150" s="9"/>
      <c r="L150" s="9"/>
      <c r="M150" s="9"/>
      <c r="N150" s="9"/>
      <c r="O150" s="10"/>
      <c r="P150" s="10"/>
      <c r="Q150" s="10"/>
    </row>
    <row r="151" spans="2:17" x14ac:dyDescent="0.25">
      <c r="B151" s="9"/>
      <c r="C151" s="9"/>
      <c r="D151" s="9"/>
      <c r="E151" s="9"/>
      <c r="F151" s="9"/>
      <c r="G151" s="9"/>
      <c r="H151" s="9"/>
      <c r="I151" s="9"/>
      <c r="J151" s="9"/>
      <c r="K151" s="9"/>
      <c r="L151" s="9"/>
      <c r="M151" s="9"/>
      <c r="N151" s="9"/>
      <c r="O151" s="10"/>
      <c r="P151" s="10"/>
      <c r="Q151" s="10"/>
    </row>
    <row r="152" spans="2:17" x14ac:dyDescent="0.25">
      <c r="B152" s="9"/>
      <c r="C152" s="9"/>
      <c r="D152" s="9"/>
      <c r="E152" s="9"/>
      <c r="F152" s="9"/>
      <c r="G152" s="9"/>
      <c r="H152" s="9"/>
      <c r="I152" s="9"/>
      <c r="J152" s="9"/>
      <c r="K152" s="9"/>
      <c r="L152" s="9"/>
      <c r="M152" s="9"/>
      <c r="N152" s="9"/>
      <c r="O152" s="10"/>
      <c r="P152" s="10"/>
      <c r="Q152" s="10"/>
    </row>
    <row r="153" spans="2:17" x14ac:dyDescent="0.25">
      <c r="B153" s="9"/>
      <c r="C153" s="9"/>
      <c r="D153" s="9"/>
      <c r="E153" s="9"/>
      <c r="F153" s="9"/>
      <c r="G153" s="9"/>
      <c r="H153" s="9"/>
      <c r="I153" s="9"/>
      <c r="J153" s="9"/>
      <c r="K153" s="9"/>
      <c r="L153" s="9"/>
      <c r="M153" s="9"/>
      <c r="N153" s="9"/>
      <c r="O153" s="10"/>
      <c r="P153" s="10"/>
      <c r="Q153" s="10"/>
    </row>
    <row r="154" spans="2:17" x14ac:dyDescent="0.25">
      <c r="B154" s="9"/>
      <c r="C154" s="9"/>
      <c r="D154" s="9"/>
      <c r="E154" s="9"/>
      <c r="F154" s="9"/>
      <c r="G154" s="9"/>
      <c r="H154" s="9"/>
      <c r="I154" s="9"/>
      <c r="J154" s="9"/>
      <c r="K154" s="9"/>
      <c r="L154" s="9"/>
      <c r="M154" s="9"/>
      <c r="N154" s="9"/>
      <c r="O154" s="10"/>
      <c r="P154" s="10"/>
      <c r="Q154" s="10"/>
    </row>
    <row r="155" spans="2:17" x14ac:dyDescent="0.25">
      <c r="B155" s="9"/>
      <c r="C155" s="9"/>
      <c r="D155" s="9"/>
      <c r="E155" s="9"/>
      <c r="F155" s="9"/>
      <c r="G155" s="9"/>
      <c r="H155" s="9"/>
      <c r="I155" s="9"/>
      <c r="J155" s="9"/>
      <c r="K155" s="9"/>
      <c r="L155" s="9"/>
      <c r="M155" s="9"/>
      <c r="N155" s="9"/>
      <c r="O155" s="10"/>
      <c r="P155" s="10"/>
      <c r="Q155" s="10"/>
    </row>
    <row r="156" spans="2:17" x14ac:dyDescent="0.25">
      <c r="B156" s="9"/>
      <c r="C156" s="9"/>
      <c r="D156" s="9"/>
      <c r="E156" s="9"/>
      <c r="F156" s="9"/>
      <c r="G156" s="9"/>
      <c r="H156" s="9"/>
      <c r="I156" s="9"/>
      <c r="J156" s="9"/>
      <c r="K156" s="9"/>
      <c r="L156" s="9"/>
      <c r="M156" s="9"/>
      <c r="N156" s="9"/>
      <c r="O156" s="10"/>
      <c r="P156" s="10"/>
      <c r="Q156" s="10"/>
    </row>
    <row r="157" spans="2:17" x14ac:dyDescent="0.25">
      <c r="B157" s="9"/>
      <c r="C157" s="9"/>
      <c r="D157" s="9"/>
      <c r="E157" s="9"/>
      <c r="F157" s="9"/>
      <c r="G157" s="9"/>
      <c r="H157" s="9"/>
      <c r="I157" s="9"/>
      <c r="J157" s="9"/>
      <c r="K157" s="9"/>
      <c r="L157" s="9"/>
      <c r="M157" s="9"/>
      <c r="N157" s="9"/>
      <c r="O157" s="10"/>
      <c r="P157" s="10"/>
      <c r="Q157" s="10"/>
    </row>
    <row r="158" spans="2:17" x14ac:dyDescent="0.25">
      <c r="B158" s="9"/>
      <c r="C158" s="9"/>
      <c r="D158" s="9"/>
      <c r="E158" s="9"/>
      <c r="F158" s="9"/>
      <c r="G158" s="9"/>
      <c r="H158" s="9"/>
      <c r="I158" s="9"/>
      <c r="J158" s="9"/>
      <c r="K158" s="9"/>
      <c r="L158" s="9"/>
      <c r="M158" s="9"/>
      <c r="N158" s="9"/>
      <c r="O158" s="10"/>
      <c r="P158" s="10"/>
      <c r="Q158" s="10"/>
    </row>
    <row r="159" spans="2:17" x14ac:dyDescent="0.25">
      <c r="B159" s="9"/>
      <c r="C159" s="9"/>
      <c r="D159" s="9"/>
      <c r="E159" s="9"/>
      <c r="F159" s="9"/>
      <c r="G159" s="9"/>
      <c r="H159" s="9"/>
      <c r="I159" s="9"/>
      <c r="J159" s="9"/>
      <c r="K159" s="9"/>
      <c r="L159" s="9"/>
      <c r="M159" s="9"/>
      <c r="N159" s="9"/>
      <c r="O159" s="10"/>
      <c r="P159" s="10"/>
      <c r="Q159" s="10"/>
    </row>
    <row r="160" spans="2:17" x14ac:dyDescent="0.25">
      <c r="B160" s="9"/>
      <c r="C160" s="9"/>
      <c r="D160" s="9"/>
      <c r="E160" s="9"/>
      <c r="F160" s="9"/>
      <c r="G160" s="9"/>
      <c r="H160" s="9"/>
      <c r="I160" s="9"/>
      <c r="J160" s="9"/>
      <c r="K160" s="9"/>
      <c r="L160" s="9"/>
      <c r="M160" s="9"/>
      <c r="N160" s="9"/>
      <c r="O160" s="10"/>
      <c r="P160" s="10"/>
      <c r="Q160" s="10"/>
    </row>
    <row r="161" spans="2:17" x14ac:dyDescent="0.25">
      <c r="B161" s="9"/>
      <c r="C161" s="9"/>
      <c r="D161" s="9"/>
      <c r="E161" s="9"/>
      <c r="F161" s="9"/>
      <c r="G161" s="9"/>
      <c r="H161" s="9"/>
      <c r="I161" s="9"/>
      <c r="J161" s="9"/>
      <c r="K161" s="9"/>
      <c r="L161" s="9"/>
      <c r="M161" s="9"/>
      <c r="N161" s="9"/>
      <c r="O161" s="10"/>
      <c r="P161" s="10"/>
      <c r="Q161" s="10"/>
    </row>
    <row r="162" spans="2:17" x14ac:dyDescent="0.25">
      <c r="B162" s="9"/>
      <c r="C162" s="9"/>
      <c r="D162" s="9"/>
      <c r="E162" s="9"/>
      <c r="F162" s="9"/>
      <c r="G162" s="9"/>
      <c r="H162" s="9"/>
      <c r="I162" s="9"/>
      <c r="J162" s="9"/>
      <c r="K162" s="9"/>
      <c r="L162" s="9"/>
      <c r="M162" s="9"/>
      <c r="N162" s="9"/>
      <c r="O162" s="10"/>
      <c r="P162" s="10"/>
      <c r="Q162" s="10"/>
    </row>
    <row r="163" spans="2:17" x14ac:dyDescent="0.25">
      <c r="B163" s="9"/>
      <c r="C163" s="9"/>
      <c r="D163" s="9"/>
      <c r="E163" s="9"/>
      <c r="F163" s="9"/>
      <c r="G163" s="9"/>
      <c r="H163" s="9"/>
      <c r="I163" s="9"/>
      <c r="J163" s="9"/>
      <c r="K163" s="9"/>
      <c r="L163" s="9"/>
      <c r="M163" s="9"/>
      <c r="N163" s="9"/>
      <c r="O163" s="10"/>
      <c r="P163" s="10"/>
      <c r="Q163" s="10"/>
    </row>
    <row r="164" spans="2:17" x14ac:dyDescent="0.25">
      <c r="B164" s="9"/>
      <c r="C164" s="9"/>
      <c r="D164" s="9"/>
      <c r="E164" s="9"/>
      <c r="F164" s="9"/>
      <c r="G164" s="9"/>
      <c r="H164" s="9"/>
      <c r="I164" s="9"/>
      <c r="J164" s="9"/>
      <c r="K164" s="9"/>
      <c r="L164" s="9"/>
      <c r="M164" s="9"/>
      <c r="N164" s="9"/>
      <c r="O164" s="10"/>
      <c r="P164" s="10"/>
      <c r="Q164" s="10"/>
    </row>
    <row r="165" spans="2:17" x14ac:dyDescent="0.25">
      <c r="B165" s="9"/>
      <c r="C165" s="9"/>
      <c r="D165" s="9"/>
      <c r="E165" s="9"/>
      <c r="F165" s="9"/>
      <c r="G165" s="9"/>
      <c r="H165" s="9"/>
      <c r="I165" s="9"/>
      <c r="J165" s="9"/>
      <c r="K165" s="9"/>
      <c r="L165" s="9"/>
      <c r="M165" s="9"/>
      <c r="N165" s="9"/>
      <c r="O165" s="10"/>
      <c r="P165" s="10"/>
      <c r="Q165" s="10"/>
    </row>
    <row r="166" spans="2:17" x14ac:dyDescent="0.25">
      <c r="B166" s="9"/>
      <c r="C166" s="9"/>
      <c r="D166" s="9"/>
      <c r="E166" s="9"/>
      <c r="F166" s="9"/>
      <c r="G166" s="9"/>
      <c r="H166" s="9"/>
      <c r="I166" s="9"/>
      <c r="J166" s="9"/>
      <c r="K166" s="9"/>
      <c r="L166" s="9"/>
      <c r="M166" s="9"/>
      <c r="N166" s="9"/>
      <c r="O166" s="10"/>
      <c r="P166" s="10"/>
      <c r="Q166" s="10"/>
    </row>
    <row r="167" spans="2:17" x14ac:dyDescent="0.25">
      <c r="B167" s="9"/>
      <c r="C167" s="9"/>
      <c r="D167" s="9"/>
      <c r="E167" s="9"/>
      <c r="F167" s="9"/>
      <c r="G167" s="9"/>
      <c r="H167" s="9"/>
      <c r="I167" s="9"/>
      <c r="J167" s="9"/>
      <c r="K167" s="9"/>
      <c r="L167" s="9"/>
      <c r="M167" s="9"/>
      <c r="N167" s="9"/>
      <c r="O167" s="10"/>
      <c r="P167" s="10"/>
      <c r="Q167" s="10"/>
    </row>
    <row r="168" spans="2:17" x14ac:dyDescent="0.25">
      <c r="B168" s="9"/>
      <c r="C168" s="9"/>
      <c r="D168" s="9"/>
      <c r="E168" s="9"/>
      <c r="F168" s="9"/>
      <c r="G168" s="9"/>
      <c r="H168" s="9"/>
      <c r="I168" s="9"/>
      <c r="J168" s="9"/>
      <c r="K168" s="9"/>
      <c r="L168" s="9"/>
      <c r="M168" s="9"/>
      <c r="N168" s="9"/>
      <c r="O168" s="10"/>
      <c r="P168" s="10"/>
      <c r="Q168" s="10"/>
    </row>
    <row r="169" spans="2:17" x14ac:dyDescent="0.25">
      <c r="B169" s="9"/>
      <c r="C169" s="9"/>
      <c r="D169" s="9"/>
      <c r="E169" s="9"/>
      <c r="F169" s="9"/>
      <c r="G169" s="9"/>
      <c r="H169" s="9"/>
      <c r="I169" s="9"/>
      <c r="J169" s="9"/>
      <c r="K169" s="9"/>
      <c r="L169" s="9"/>
      <c r="M169" s="9"/>
      <c r="N169" s="9"/>
      <c r="O169" s="10"/>
      <c r="P169" s="10"/>
      <c r="Q169" s="10"/>
    </row>
    <row r="170" spans="2:17" x14ac:dyDescent="0.25">
      <c r="B170" s="9"/>
      <c r="C170" s="9"/>
      <c r="D170" s="9"/>
      <c r="E170" s="9"/>
      <c r="F170" s="9"/>
      <c r="G170" s="9"/>
      <c r="H170" s="9"/>
      <c r="I170" s="9"/>
      <c r="J170" s="9"/>
      <c r="K170" s="9"/>
      <c r="L170" s="9"/>
      <c r="M170" s="9"/>
      <c r="N170" s="9"/>
      <c r="O170" s="10"/>
      <c r="P170" s="10"/>
      <c r="Q170" s="10"/>
    </row>
    <row r="171" spans="2:17" x14ac:dyDescent="0.25">
      <c r="B171" s="9"/>
      <c r="C171" s="9"/>
      <c r="D171" s="9"/>
      <c r="E171" s="9"/>
      <c r="F171" s="9"/>
      <c r="G171" s="9"/>
      <c r="H171" s="9"/>
      <c r="I171" s="9"/>
      <c r="J171" s="9"/>
      <c r="K171" s="9"/>
      <c r="L171" s="9"/>
      <c r="M171" s="9"/>
      <c r="N171" s="9"/>
      <c r="O171" s="10"/>
      <c r="P171" s="10"/>
      <c r="Q171" s="10"/>
    </row>
    <row r="172" spans="2:17" x14ac:dyDescent="0.25">
      <c r="B172" s="9"/>
      <c r="C172" s="9"/>
      <c r="D172" s="9"/>
      <c r="E172" s="9"/>
      <c r="F172" s="9"/>
      <c r="G172" s="9"/>
      <c r="H172" s="9"/>
      <c r="I172" s="9"/>
      <c r="J172" s="9"/>
      <c r="K172" s="9"/>
      <c r="L172" s="9"/>
      <c r="M172" s="9"/>
      <c r="N172" s="9"/>
      <c r="O172" s="10"/>
      <c r="P172" s="10"/>
      <c r="Q172" s="10"/>
    </row>
    <row r="173" spans="2:17" x14ac:dyDescent="0.25">
      <c r="B173" s="9"/>
      <c r="C173" s="9"/>
      <c r="D173" s="9"/>
      <c r="E173" s="9"/>
      <c r="F173" s="9"/>
      <c r="G173" s="9"/>
      <c r="H173" s="9"/>
      <c r="I173" s="9"/>
      <c r="J173" s="9"/>
      <c r="K173" s="9"/>
      <c r="L173" s="9"/>
      <c r="M173" s="9"/>
      <c r="N173" s="9"/>
      <c r="O173" s="10"/>
      <c r="P173" s="10"/>
      <c r="Q173" s="10"/>
    </row>
    <row r="174" spans="2:17" x14ac:dyDescent="0.25">
      <c r="B174" s="9"/>
      <c r="C174" s="9"/>
      <c r="D174" s="9"/>
      <c r="E174" s="9"/>
      <c r="F174" s="9"/>
      <c r="G174" s="9"/>
      <c r="H174" s="9"/>
      <c r="I174" s="9"/>
      <c r="J174" s="9"/>
      <c r="K174" s="9"/>
      <c r="L174" s="9"/>
      <c r="M174" s="9"/>
      <c r="N174" s="9"/>
      <c r="O174" s="10"/>
      <c r="P174" s="10"/>
      <c r="Q174" s="10"/>
    </row>
    <row r="175" spans="2:17" x14ac:dyDescent="0.25">
      <c r="B175" s="9"/>
      <c r="C175" s="9"/>
      <c r="D175" s="9"/>
      <c r="E175" s="9"/>
      <c r="F175" s="9"/>
      <c r="G175" s="9"/>
      <c r="H175" s="9"/>
      <c r="I175" s="9"/>
      <c r="J175" s="9"/>
      <c r="K175" s="9"/>
      <c r="L175" s="9"/>
      <c r="M175" s="9"/>
      <c r="N175" s="9"/>
      <c r="O175" s="10"/>
      <c r="P175" s="10"/>
      <c r="Q175" s="10"/>
    </row>
    <row r="176" spans="2:17" x14ac:dyDescent="0.25">
      <c r="B176" s="9"/>
      <c r="C176" s="9"/>
      <c r="D176" s="9"/>
      <c r="E176" s="9"/>
      <c r="F176" s="9"/>
      <c r="G176" s="9"/>
      <c r="H176" s="9"/>
      <c r="I176" s="9"/>
      <c r="J176" s="9"/>
      <c r="K176" s="9"/>
      <c r="L176" s="9"/>
      <c r="M176" s="9"/>
      <c r="N176" s="9"/>
      <c r="O176" s="10"/>
      <c r="P176" s="10"/>
      <c r="Q176" s="10"/>
    </row>
    <row r="177" spans="2:17" x14ac:dyDescent="0.25">
      <c r="B177" s="9"/>
      <c r="C177" s="9"/>
      <c r="D177" s="9"/>
      <c r="E177" s="9"/>
      <c r="F177" s="9"/>
      <c r="G177" s="9"/>
      <c r="H177" s="9"/>
      <c r="I177" s="9"/>
      <c r="J177" s="9"/>
      <c r="K177" s="9"/>
      <c r="L177" s="9"/>
      <c r="M177" s="9"/>
      <c r="N177" s="9"/>
      <c r="O177" s="10"/>
      <c r="P177" s="10"/>
      <c r="Q177" s="10"/>
    </row>
    <row r="178" spans="2:17" x14ac:dyDescent="0.25">
      <c r="B178" s="9"/>
      <c r="C178" s="9"/>
      <c r="D178" s="9"/>
      <c r="E178" s="9"/>
      <c r="F178" s="9"/>
      <c r="G178" s="9"/>
      <c r="H178" s="9"/>
      <c r="I178" s="9"/>
      <c r="J178" s="9"/>
      <c r="K178" s="9"/>
      <c r="L178" s="9"/>
      <c r="M178" s="9"/>
      <c r="N178" s="9"/>
      <c r="O178" s="10"/>
      <c r="P178" s="10"/>
      <c r="Q178" s="10"/>
    </row>
    <row r="179" spans="2:17" x14ac:dyDescent="0.25">
      <c r="B179" s="9"/>
      <c r="C179" s="9"/>
      <c r="D179" s="9"/>
      <c r="E179" s="9"/>
      <c r="F179" s="9"/>
      <c r="G179" s="9"/>
      <c r="H179" s="9"/>
      <c r="I179" s="9"/>
      <c r="J179" s="9"/>
      <c r="K179" s="9"/>
      <c r="L179" s="9"/>
      <c r="M179" s="9"/>
      <c r="N179" s="9"/>
      <c r="O179" s="10"/>
      <c r="P179" s="10"/>
      <c r="Q179" s="10"/>
    </row>
    <row r="180" spans="2:17" x14ac:dyDescent="0.25">
      <c r="B180" s="9"/>
      <c r="C180" s="9"/>
      <c r="D180" s="9"/>
      <c r="E180" s="9"/>
      <c r="F180" s="9"/>
      <c r="G180" s="9"/>
      <c r="H180" s="9"/>
      <c r="I180" s="9"/>
      <c r="J180" s="9"/>
      <c r="K180" s="9"/>
      <c r="L180" s="9"/>
      <c r="M180" s="9"/>
      <c r="N180" s="9"/>
      <c r="O180" s="10"/>
      <c r="P180" s="10"/>
      <c r="Q180" s="10"/>
    </row>
  </sheetData>
  <mergeCells count="2">
    <mergeCell ref="A2:N2"/>
    <mergeCell ref="A1:N1"/>
  </mergeCells>
  <phoneticPr fontId="3" type="noConversion"/>
  <printOptions horizontalCentered="1"/>
  <pageMargins left="0.78740157480314965" right="0.78740157480314965" top="0.98425196850393704" bottom="0.98425196850393704" header="0.51181102362204722" footer="0.51181102362204722"/>
  <pageSetup paperSize="9" scale="33"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indexed="55"/>
    <outlinePr applyStyles="1" summaryBelow="0"/>
    <pageSetUpPr fitToPage="1"/>
  </sheetPr>
  <dimension ref="A2:T247"/>
  <sheetViews>
    <sheetView workbookViewId="0">
      <selection activeCell="A6" sqref="A6"/>
    </sheetView>
  </sheetViews>
  <sheetFormatPr defaultColWidth="9.1796875" defaultRowHeight="13" outlineLevelRow="1" x14ac:dyDescent="0.3"/>
  <cols>
    <col min="1" max="1" width="63.26953125" style="21" bestFit="1" customWidth="1"/>
    <col min="2" max="2" width="14.26953125" style="22" customWidth="1"/>
    <col min="3" max="3" width="15.1796875" style="22" customWidth="1"/>
    <col min="4" max="4" width="10.26953125" style="71" customWidth="1"/>
    <col min="5" max="5" width="8.81640625" style="21" hidden="1" customWidth="1"/>
    <col min="6" max="6" width="9.1796875" style="21" customWidth="1"/>
    <col min="7" max="16384" width="9.1796875" style="21"/>
  </cols>
  <sheetData>
    <row r="2" spans="1:20" ht="39" customHeight="1" x14ac:dyDescent="0.45">
      <c r="A2" s="289" t="str">
        <f>DEBT_BY_REPAYMENT</f>
        <v>Структура державного та гарантованого державою боргу
в розрізі термінів погашення</v>
      </c>
      <c r="B2" s="280"/>
      <c r="C2" s="280"/>
      <c r="D2" s="280"/>
      <c r="E2" s="280"/>
      <c r="F2" s="25"/>
      <c r="G2" s="25"/>
      <c r="H2" s="25"/>
      <c r="I2" s="25"/>
      <c r="J2" s="25"/>
      <c r="K2" s="25"/>
      <c r="L2" s="25"/>
      <c r="M2" s="25"/>
      <c r="N2" s="25"/>
      <c r="O2" s="25"/>
      <c r="P2" s="25"/>
      <c r="Q2" s="25"/>
      <c r="R2" s="25"/>
      <c r="S2" s="25"/>
      <c r="T2" s="25"/>
    </row>
    <row r="3" spans="1:20" x14ac:dyDescent="0.3">
      <c r="A3" s="23"/>
    </row>
    <row r="4" spans="1:20" s="26" customFormat="1" x14ac:dyDescent="0.3">
      <c r="B4" s="27"/>
      <c r="C4" s="27"/>
      <c r="D4" s="66" t="str">
        <f>VALVAL</f>
        <v>млрд. одиниць</v>
      </c>
    </row>
    <row r="5" spans="1:20" s="13" customFormat="1" x14ac:dyDescent="0.25">
      <c r="A5" s="11"/>
      <c r="B5" s="67" t="str">
        <f>USD</f>
        <v>дол.США</v>
      </c>
      <c r="C5" s="67" t="str">
        <f>UAH</f>
        <v>грн.</v>
      </c>
      <c r="D5" s="68" t="s">
        <v>0</v>
      </c>
      <c r="E5" s="56" t="s">
        <v>6</v>
      </c>
    </row>
    <row r="6" spans="1:20" s="14" customFormat="1" ht="14.5" x14ac:dyDescent="0.25">
      <c r="A6" s="151" t="str">
        <f>DEBT_TOTAL</f>
        <v>Загальна сума державного та гарантованого державою боргу</v>
      </c>
      <c r="B6" s="42">
        <f>SUM(B$7+ B$8+ B$9)</f>
        <v>166.05851744312</v>
      </c>
      <c r="C6" s="42">
        <f>SUM(C$7+ C$8+ C$9)</f>
        <v>6980.93401478539</v>
      </c>
      <c r="D6" s="97">
        <f>SUM(D$7+ D$8+ D$9)</f>
        <v>1</v>
      </c>
      <c r="E6" s="31" t="s">
        <v>51</v>
      </c>
    </row>
    <row r="7" spans="1:20" s="37" customFormat="1" outlineLevel="1" x14ac:dyDescent="0.25">
      <c r="A7" s="159" t="s">
        <v>52</v>
      </c>
      <c r="B7" s="165">
        <v>0.26122529081000001</v>
      </c>
      <c r="C7" s="165">
        <v>10.98165</v>
      </c>
      <c r="D7" s="229">
        <v>1.573E-3</v>
      </c>
      <c r="E7" s="102" t="s">
        <v>53</v>
      </c>
    </row>
    <row r="8" spans="1:20" s="37" customFormat="1" outlineLevel="1" x14ac:dyDescent="0.25">
      <c r="A8" s="159" t="s">
        <v>54</v>
      </c>
      <c r="B8" s="165">
        <v>36.517266871140002</v>
      </c>
      <c r="C8" s="165">
        <v>1535.1493819949401</v>
      </c>
      <c r="D8" s="229">
        <v>0.21990599999999999</v>
      </c>
      <c r="E8" s="102" t="s">
        <v>53</v>
      </c>
    </row>
    <row r="9" spans="1:20" s="37" customFormat="1" outlineLevel="1" x14ac:dyDescent="0.25">
      <c r="A9" s="159" t="s">
        <v>55</v>
      </c>
      <c r="B9" s="165">
        <v>129.28002528117</v>
      </c>
      <c r="C9" s="165">
        <v>5434.8029827904502</v>
      </c>
      <c r="D9" s="229">
        <v>0.77852100000000002</v>
      </c>
      <c r="E9" s="102" t="s">
        <v>53</v>
      </c>
    </row>
    <row r="10" spans="1:20" x14ac:dyDescent="0.3">
      <c r="B10" s="24"/>
      <c r="C10" s="24"/>
      <c r="D10" s="62"/>
      <c r="E10" s="25"/>
      <c r="F10" s="25"/>
      <c r="G10" s="25"/>
      <c r="H10" s="25"/>
      <c r="I10" s="25"/>
      <c r="J10" s="25"/>
      <c r="K10" s="25"/>
      <c r="L10" s="25"/>
      <c r="M10" s="25"/>
      <c r="N10" s="25"/>
      <c r="O10" s="25"/>
      <c r="P10" s="25"/>
      <c r="Q10" s="25"/>
      <c r="R10" s="25"/>
    </row>
    <row r="11" spans="1:20" x14ac:dyDescent="0.3">
      <c r="B11" s="24"/>
      <c r="C11" s="24"/>
      <c r="D11" s="62"/>
      <c r="E11" s="25"/>
      <c r="F11" s="25"/>
      <c r="G11" s="25"/>
      <c r="H11" s="25"/>
      <c r="I11" s="25"/>
      <c r="J11" s="25"/>
      <c r="K11" s="25"/>
      <c r="L11" s="25"/>
      <c r="M11" s="25"/>
      <c r="N11" s="25"/>
      <c r="O11" s="25"/>
      <c r="P11" s="25"/>
      <c r="Q11" s="25"/>
      <c r="R11" s="25"/>
    </row>
    <row r="12" spans="1:20" x14ac:dyDescent="0.3">
      <c r="B12" s="24"/>
      <c r="C12" s="24"/>
      <c r="D12" s="62"/>
      <c r="E12" s="25"/>
      <c r="F12" s="25"/>
      <c r="G12" s="25"/>
      <c r="H12" s="25"/>
      <c r="I12" s="25"/>
      <c r="J12" s="25"/>
      <c r="K12" s="25"/>
      <c r="L12" s="25"/>
      <c r="M12" s="25"/>
      <c r="N12" s="25"/>
      <c r="O12" s="25"/>
      <c r="P12" s="25"/>
      <c r="Q12" s="25"/>
      <c r="R12" s="25"/>
    </row>
    <row r="13" spans="1:20" x14ac:dyDescent="0.3">
      <c r="B13" s="24"/>
      <c r="C13" s="24"/>
      <c r="D13" s="62"/>
      <c r="E13" s="25"/>
      <c r="F13" s="25"/>
      <c r="G13" s="25"/>
      <c r="H13" s="25"/>
      <c r="I13" s="25"/>
      <c r="J13" s="25"/>
      <c r="K13" s="25"/>
      <c r="L13" s="25"/>
      <c r="M13" s="25"/>
      <c r="N13" s="25"/>
      <c r="O13" s="25"/>
      <c r="P13" s="25"/>
      <c r="Q13" s="25"/>
      <c r="R13" s="25"/>
    </row>
    <row r="14" spans="1:20" x14ac:dyDescent="0.3">
      <c r="B14" s="24"/>
      <c r="C14" s="24"/>
      <c r="D14" s="62"/>
      <c r="E14" s="25"/>
      <c r="F14" s="25"/>
      <c r="G14" s="25"/>
      <c r="H14" s="25"/>
      <c r="I14" s="25"/>
      <c r="J14" s="25"/>
      <c r="K14" s="25"/>
      <c r="L14" s="25"/>
      <c r="M14" s="25"/>
      <c r="N14" s="25"/>
      <c r="O14" s="25"/>
      <c r="P14" s="25"/>
      <c r="Q14" s="25"/>
      <c r="R14" s="25"/>
    </row>
    <row r="15" spans="1:20" x14ac:dyDescent="0.3">
      <c r="B15" s="24"/>
      <c r="C15" s="24"/>
      <c r="D15" s="62"/>
      <c r="E15" s="25"/>
      <c r="F15" s="25"/>
      <c r="G15" s="25"/>
      <c r="H15" s="25"/>
      <c r="I15" s="25"/>
      <c r="J15" s="25"/>
      <c r="K15" s="25"/>
      <c r="L15" s="25"/>
      <c r="M15" s="25"/>
      <c r="N15" s="25"/>
      <c r="O15" s="25"/>
      <c r="P15" s="25"/>
      <c r="Q15" s="25"/>
      <c r="R15" s="25"/>
    </row>
    <row r="16" spans="1:20" x14ac:dyDescent="0.3">
      <c r="B16" s="24"/>
      <c r="C16" s="24"/>
      <c r="D16" s="62"/>
      <c r="E16" s="25"/>
      <c r="F16" s="25"/>
      <c r="G16" s="25"/>
      <c r="H16" s="25"/>
      <c r="I16" s="25"/>
      <c r="J16" s="25"/>
      <c r="K16" s="25"/>
      <c r="L16" s="25"/>
      <c r="M16" s="25"/>
      <c r="N16" s="25"/>
      <c r="O16" s="25"/>
      <c r="P16" s="25"/>
      <c r="Q16" s="25"/>
      <c r="R16" s="25"/>
    </row>
    <row r="17" spans="2:18" x14ac:dyDescent="0.3">
      <c r="B17" s="24"/>
      <c r="C17" s="24"/>
      <c r="D17" s="62"/>
      <c r="E17" s="25"/>
      <c r="F17" s="25"/>
      <c r="G17" s="25"/>
      <c r="H17" s="25"/>
      <c r="I17" s="25"/>
      <c r="J17" s="25"/>
      <c r="K17" s="25"/>
      <c r="L17" s="25"/>
      <c r="M17" s="25"/>
      <c r="N17" s="25"/>
      <c r="O17" s="25"/>
      <c r="P17" s="25"/>
      <c r="Q17" s="25"/>
      <c r="R17" s="25"/>
    </row>
    <row r="18" spans="2:18" x14ac:dyDescent="0.3">
      <c r="B18" s="24"/>
      <c r="C18" s="24"/>
      <c r="D18" s="62"/>
      <c r="E18" s="25"/>
      <c r="F18" s="25"/>
      <c r="G18" s="25"/>
      <c r="H18" s="25"/>
      <c r="I18" s="25"/>
      <c r="J18" s="25"/>
      <c r="K18" s="25"/>
      <c r="L18" s="25"/>
      <c r="M18" s="25"/>
      <c r="N18" s="25"/>
      <c r="O18" s="25"/>
      <c r="P18" s="25"/>
      <c r="Q18" s="25"/>
      <c r="R18" s="25"/>
    </row>
    <row r="19" spans="2:18" x14ac:dyDescent="0.3">
      <c r="B19" s="24"/>
      <c r="C19" s="24"/>
      <c r="D19" s="62"/>
      <c r="E19" s="25"/>
      <c r="F19" s="25"/>
      <c r="G19" s="25"/>
      <c r="H19" s="25"/>
      <c r="I19" s="25"/>
      <c r="J19" s="25"/>
      <c r="K19" s="25"/>
      <c r="L19" s="25"/>
      <c r="M19" s="25"/>
      <c r="N19" s="25"/>
      <c r="O19" s="25"/>
      <c r="P19" s="25"/>
      <c r="Q19" s="25"/>
      <c r="R19" s="25"/>
    </row>
    <row r="20" spans="2:18" x14ac:dyDescent="0.3">
      <c r="B20" s="24"/>
      <c r="C20" s="24"/>
      <c r="D20" s="62"/>
      <c r="E20" s="25"/>
      <c r="F20" s="25"/>
      <c r="G20" s="25"/>
      <c r="H20" s="25"/>
      <c r="I20" s="25"/>
      <c r="J20" s="25"/>
      <c r="K20" s="25"/>
      <c r="L20" s="25"/>
      <c r="M20" s="25"/>
      <c r="N20" s="25"/>
      <c r="O20" s="25"/>
      <c r="P20" s="25"/>
      <c r="Q20" s="25"/>
      <c r="R20" s="25"/>
    </row>
    <row r="21" spans="2:18" x14ac:dyDescent="0.3">
      <c r="B21" s="24"/>
      <c r="C21" s="24"/>
      <c r="D21" s="62"/>
      <c r="E21" s="25"/>
      <c r="F21" s="25"/>
      <c r="G21" s="25"/>
      <c r="H21" s="25"/>
      <c r="I21" s="25"/>
      <c r="J21" s="25"/>
      <c r="K21" s="25"/>
      <c r="L21" s="25"/>
      <c r="M21" s="25"/>
      <c r="N21" s="25"/>
      <c r="O21" s="25"/>
      <c r="P21" s="25"/>
      <c r="Q21" s="25"/>
      <c r="R21" s="25"/>
    </row>
    <row r="22" spans="2:18" x14ac:dyDescent="0.3">
      <c r="B22" s="24"/>
      <c r="C22" s="24"/>
      <c r="D22" s="62"/>
      <c r="E22" s="25"/>
      <c r="F22" s="25"/>
      <c r="G22" s="25"/>
      <c r="H22" s="25"/>
      <c r="I22" s="25"/>
      <c r="J22" s="25"/>
      <c r="K22" s="25"/>
      <c r="L22" s="25"/>
      <c r="M22" s="25"/>
      <c r="N22" s="25"/>
      <c r="O22" s="25"/>
      <c r="P22" s="25"/>
      <c r="Q22" s="25"/>
      <c r="R22" s="25"/>
    </row>
    <row r="23" spans="2:18" x14ac:dyDescent="0.3">
      <c r="B23" s="24"/>
      <c r="C23" s="24"/>
      <c r="D23" s="62"/>
      <c r="E23" s="25"/>
      <c r="F23" s="25"/>
      <c r="G23" s="25"/>
      <c r="H23" s="25"/>
      <c r="I23" s="25"/>
      <c r="J23" s="25"/>
      <c r="K23" s="25"/>
      <c r="L23" s="25"/>
      <c r="M23" s="25"/>
      <c r="N23" s="25"/>
      <c r="O23" s="25"/>
      <c r="P23" s="25"/>
      <c r="Q23" s="25"/>
      <c r="R23" s="25"/>
    </row>
    <row r="24" spans="2:18" x14ac:dyDescent="0.3">
      <c r="B24" s="24"/>
      <c r="C24" s="24"/>
      <c r="D24" s="62"/>
      <c r="E24" s="25"/>
      <c r="F24" s="25"/>
      <c r="G24" s="25"/>
      <c r="H24" s="25"/>
      <c r="I24" s="25"/>
      <c r="J24" s="25"/>
      <c r="K24" s="25"/>
      <c r="L24" s="25"/>
      <c r="M24" s="25"/>
      <c r="N24" s="25"/>
      <c r="O24" s="25"/>
      <c r="P24" s="25"/>
      <c r="Q24" s="25"/>
      <c r="R24" s="25"/>
    </row>
    <row r="25" spans="2:18" x14ac:dyDescent="0.3">
      <c r="B25" s="24"/>
      <c r="C25" s="24"/>
      <c r="D25" s="62"/>
      <c r="E25" s="25"/>
      <c r="F25" s="25"/>
      <c r="G25" s="25"/>
      <c r="H25" s="25"/>
      <c r="I25" s="25"/>
      <c r="J25" s="25"/>
      <c r="K25" s="25"/>
      <c r="L25" s="25"/>
      <c r="M25" s="25"/>
      <c r="N25" s="25"/>
      <c r="O25" s="25"/>
      <c r="P25" s="25"/>
      <c r="Q25" s="25"/>
      <c r="R25" s="25"/>
    </row>
    <row r="26" spans="2:18" x14ac:dyDescent="0.3">
      <c r="B26" s="24"/>
      <c r="C26" s="24"/>
      <c r="D26" s="62"/>
      <c r="E26" s="25"/>
      <c r="F26" s="25"/>
      <c r="G26" s="25"/>
      <c r="H26" s="25"/>
      <c r="I26" s="25"/>
      <c r="J26" s="25"/>
      <c r="K26" s="25"/>
      <c r="L26" s="25"/>
      <c r="M26" s="25"/>
      <c r="N26" s="25"/>
      <c r="O26" s="25"/>
      <c r="P26" s="25"/>
      <c r="Q26" s="25"/>
      <c r="R26" s="25"/>
    </row>
    <row r="27" spans="2:18" x14ac:dyDescent="0.3">
      <c r="B27" s="24"/>
      <c r="C27" s="24"/>
      <c r="D27" s="62"/>
      <c r="E27" s="25"/>
      <c r="F27" s="25"/>
      <c r="G27" s="25"/>
      <c r="H27" s="25"/>
      <c r="I27" s="25"/>
      <c r="J27" s="25"/>
      <c r="K27" s="25"/>
      <c r="L27" s="25"/>
      <c r="M27" s="25"/>
      <c r="N27" s="25"/>
      <c r="O27" s="25"/>
      <c r="P27" s="25"/>
      <c r="Q27" s="25"/>
      <c r="R27" s="25"/>
    </row>
    <row r="28" spans="2:18" x14ac:dyDescent="0.3">
      <c r="B28" s="24"/>
      <c r="C28" s="24"/>
      <c r="D28" s="62"/>
      <c r="E28" s="25"/>
      <c r="F28" s="25"/>
      <c r="G28" s="25"/>
      <c r="H28" s="25"/>
      <c r="I28" s="25"/>
      <c r="J28" s="25"/>
      <c r="K28" s="25"/>
      <c r="L28" s="25"/>
      <c r="M28" s="25"/>
      <c r="N28" s="25"/>
      <c r="O28" s="25"/>
      <c r="P28" s="25"/>
      <c r="Q28" s="25"/>
      <c r="R28" s="25"/>
    </row>
    <row r="29" spans="2:18" x14ac:dyDescent="0.3">
      <c r="B29" s="24"/>
      <c r="C29" s="24"/>
      <c r="D29" s="62"/>
      <c r="E29" s="25"/>
      <c r="F29" s="25"/>
      <c r="G29" s="25"/>
      <c r="H29" s="25"/>
      <c r="I29" s="25"/>
      <c r="J29" s="25"/>
      <c r="K29" s="25"/>
      <c r="L29" s="25"/>
      <c r="M29" s="25"/>
      <c r="N29" s="25"/>
      <c r="O29" s="25"/>
      <c r="P29" s="25"/>
      <c r="Q29" s="25"/>
      <c r="R29" s="25"/>
    </row>
    <row r="30" spans="2:18" x14ac:dyDescent="0.3">
      <c r="B30" s="24"/>
      <c r="C30" s="24"/>
      <c r="D30" s="62"/>
      <c r="E30" s="25"/>
      <c r="F30" s="25"/>
      <c r="G30" s="25"/>
      <c r="H30" s="25"/>
      <c r="I30" s="25"/>
      <c r="J30" s="25"/>
      <c r="K30" s="25"/>
      <c r="L30" s="25"/>
      <c r="M30" s="25"/>
      <c r="N30" s="25"/>
      <c r="O30" s="25"/>
      <c r="P30" s="25"/>
      <c r="Q30" s="25"/>
      <c r="R30" s="25"/>
    </row>
    <row r="31" spans="2:18" x14ac:dyDescent="0.3">
      <c r="B31" s="24"/>
      <c r="C31" s="24"/>
      <c r="D31" s="62"/>
      <c r="E31" s="25"/>
      <c r="F31" s="25"/>
      <c r="G31" s="25"/>
      <c r="H31" s="25"/>
      <c r="I31" s="25"/>
      <c r="J31" s="25"/>
      <c r="K31" s="25"/>
      <c r="L31" s="25"/>
      <c r="M31" s="25"/>
      <c r="N31" s="25"/>
      <c r="O31" s="25"/>
      <c r="P31" s="25"/>
      <c r="Q31" s="25"/>
      <c r="R31" s="25"/>
    </row>
    <row r="32" spans="2:18" x14ac:dyDescent="0.3">
      <c r="B32" s="24"/>
      <c r="C32" s="24"/>
      <c r="D32" s="62"/>
      <c r="E32" s="25"/>
      <c r="F32" s="25"/>
      <c r="G32" s="25"/>
      <c r="H32" s="25"/>
      <c r="I32" s="25"/>
      <c r="J32" s="25"/>
      <c r="K32" s="25"/>
      <c r="L32" s="25"/>
      <c r="M32" s="25"/>
      <c r="N32" s="25"/>
      <c r="O32" s="25"/>
      <c r="P32" s="25"/>
      <c r="Q32" s="25"/>
      <c r="R32" s="25"/>
    </row>
    <row r="33" spans="2:18" x14ac:dyDescent="0.3">
      <c r="B33" s="24"/>
      <c r="C33" s="24"/>
      <c r="D33" s="62"/>
      <c r="E33" s="25"/>
      <c r="F33" s="25"/>
      <c r="G33" s="25"/>
      <c r="H33" s="25"/>
      <c r="I33" s="25"/>
      <c r="J33" s="25"/>
      <c r="K33" s="25"/>
      <c r="L33" s="25"/>
      <c r="M33" s="25"/>
      <c r="N33" s="25"/>
      <c r="O33" s="25"/>
      <c r="P33" s="25"/>
      <c r="Q33" s="25"/>
      <c r="R33" s="25"/>
    </row>
    <row r="34" spans="2:18" x14ac:dyDescent="0.3">
      <c r="B34" s="24"/>
      <c r="C34" s="24"/>
      <c r="D34" s="62"/>
      <c r="E34" s="25"/>
      <c r="F34" s="25"/>
      <c r="G34" s="25"/>
      <c r="H34" s="25"/>
      <c r="I34" s="25"/>
      <c r="J34" s="25"/>
      <c r="K34" s="25"/>
      <c r="L34" s="25"/>
      <c r="M34" s="25"/>
      <c r="N34" s="25"/>
      <c r="O34" s="25"/>
      <c r="P34" s="25"/>
      <c r="Q34" s="25"/>
      <c r="R34" s="25"/>
    </row>
    <row r="35" spans="2:18" x14ac:dyDescent="0.3">
      <c r="B35" s="24"/>
      <c r="C35" s="24"/>
      <c r="D35" s="62"/>
      <c r="E35" s="25"/>
      <c r="F35" s="25"/>
      <c r="G35" s="25"/>
      <c r="H35" s="25"/>
      <c r="I35" s="25"/>
      <c r="J35" s="25"/>
      <c r="K35" s="25"/>
      <c r="L35" s="25"/>
      <c r="M35" s="25"/>
      <c r="N35" s="25"/>
      <c r="O35" s="25"/>
      <c r="P35" s="25"/>
      <c r="Q35" s="25"/>
      <c r="R35" s="25"/>
    </row>
    <row r="36" spans="2:18" x14ac:dyDescent="0.3">
      <c r="B36" s="24"/>
      <c r="C36" s="24"/>
      <c r="D36" s="62"/>
      <c r="E36" s="25"/>
      <c r="F36" s="25"/>
      <c r="G36" s="25"/>
      <c r="H36" s="25"/>
      <c r="I36" s="25"/>
      <c r="J36" s="25"/>
      <c r="K36" s="25"/>
      <c r="L36" s="25"/>
      <c r="M36" s="25"/>
      <c r="N36" s="25"/>
      <c r="O36" s="25"/>
      <c r="P36" s="25"/>
      <c r="Q36" s="25"/>
      <c r="R36" s="25"/>
    </row>
    <row r="37" spans="2:18" x14ac:dyDescent="0.3">
      <c r="B37" s="24"/>
      <c r="C37" s="24"/>
      <c r="D37" s="62"/>
      <c r="E37" s="25"/>
      <c r="F37" s="25"/>
      <c r="G37" s="25"/>
      <c r="H37" s="25"/>
      <c r="I37" s="25"/>
      <c r="J37" s="25"/>
      <c r="K37" s="25"/>
      <c r="L37" s="25"/>
      <c r="M37" s="25"/>
      <c r="N37" s="25"/>
      <c r="O37" s="25"/>
      <c r="P37" s="25"/>
      <c r="Q37" s="25"/>
      <c r="R37" s="25"/>
    </row>
    <row r="38" spans="2:18" x14ac:dyDescent="0.3">
      <c r="B38" s="24"/>
      <c r="C38" s="24"/>
      <c r="D38" s="62"/>
      <c r="E38" s="25"/>
      <c r="F38" s="25"/>
      <c r="G38" s="25"/>
      <c r="H38" s="25"/>
      <c r="I38" s="25"/>
      <c r="J38" s="25"/>
      <c r="K38" s="25"/>
      <c r="L38" s="25"/>
      <c r="M38" s="25"/>
      <c r="N38" s="25"/>
      <c r="O38" s="25"/>
      <c r="P38" s="25"/>
      <c r="Q38" s="25"/>
      <c r="R38" s="25"/>
    </row>
    <row r="39" spans="2:18" x14ac:dyDescent="0.3">
      <c r="B39" s="24"/>
      <c r="C39" s="24"/>
      <c r="D39" s="62"/>
      <c r="E39" s="25"/>
      <c r="F39" s="25"/>
      <c r="G39" s="25"/>
      <c r="H39" s="25"/>
      <c r="I39" s="25"/>
      <c r="J39" s="25"/>
      <c r="K39" s="25"/>
      <c r="L39" s="25"/>
      <c r="M39" s="25"/>
      <c r="N39" s="25"/>
      <c r="O39" s="25"/>
      <c r="P39" s="25"/>
      <c r="Q39" s="25"/>
      <c r="R39" s="25"/>
    </row>
    <row r="40" spans="2:18" x14ac:dyDescent="0.3">
      <c r="B40" s="24"/>
      <c r="C40" s="24"/>
      <c r="D40" s="62"/>
      <c r="E40" s="25"/>
      <c r="F40" s="25"/>
      <c r="G40" s="25"/>
      <c r="H40" s="25"/>
      <c r="I40" s="25"/>
      <c r="J40" s="25"/>
      <c r="K40" s="25"/>
      <c r="L40" s="25"/>
      <c r="M40" s="25"/>
      <c r="N40" s="25"/>
      <c r="O40" s="25"/>
      <c r="P40" s="25"/>
      <c r="Q40" s="25"/>
      <c r="R40" s="25"/>
    </row>
    <row r="41" spans="2:18" x14ac:dyDescent="0.3">
      <c r="B41" s="24"/>
      <c r="C41" s="24"/>
      <c r="D41" s="62"/>
      <c r="E41" s="25"/>
      <c r="F41" s="25"/>
      <c r="G41" s="25"/>
      <c r="H41" s="25"/>
      <c r="I41" s="25"/>
      <c r="J41" s="25"/>
      <c r="K41" s="25"/>
      <c r="L41" s="25"/>
      <c r="M41" s="25"/>
      <c r="N41" s="25"/>
      <c r="O41" s="25"/>
      <c r="P41" s="25"/>
      <c r="Q41" s="25"/>
      <c r="R41" s="25"/>
    </row>
    <row r="42" spans="2:18" x14ac:dyDescent="0.3">
      <c r="B42" s="24"/>
      <c r="C42" s="24"/>
      <c r="D42" s="62"/>
      <c r="E42" s="25"/>
      <c r="F42" s="25"/>
      <c r="G42" s="25"/>
      <c r="H42" s="25"/>
      <c r="I42" s="25"/>
      <c r="J42" s="25"/>
      <c r="K42" s="25"/>
      <c r="L42" s="25"/>
      <c r="M42" s="25"/>
      <c r="N42" s="25"/>
      <c r="O42" s="25"/>
      <c r="P42" s="25"/>
      <c r="Q42" s="25"/>
      <c r="R42" s="25"/>
    </row>
    <row r="43" spans="2:18" x14ac:dyDescent="0.3">
      <c r="B43" s="24"/>
      <c r="C43" s="24"/>
      <c r="D43" s="62"/>
      <c r="E43" s="25"/>
      <c r="F43" s="25"/>
      <c r="G43" s="25"/>
      <c r="H43" s="25"/>
      <c r="I43" s="25"/>
      <c r="J43" s="25"/>
      <c r="K43" s="25"/>
      <c r="L43" s="25"/>
      <c r="M43" s="25"/>
      <c r="N43" s="25"/>
      <c r="O43" s="25"/>
      <c r="P43" s="25"/>
      <c r="Q43" s="25"/>
      <c r="R43" s="25"/>
    </row>
    <row r="44" spans="2:18" x14ac:dyDescent="0.3">
      <c r="B44" s="24"/>
      <c r="C44" s="24"/>
      <c r="D44" s="62"/>
      <c r="E44" s="25"/>
      <c r="F44" s="25"/>
      <c r="G44" s="25"/>
      <c r="H44" s="25"/>
      <c r="I44" s="25"/>
      <c r="J44" s="25"/>
      <c r="K44" s="25"/>
      <c r="L44" s="25"/>
      <c r="M44" s="25"/>
      <c r="N44" s="25"/>
      <c r="O44" s="25"/>
      <c r="P44" s="25"/>
      <c r="Q44" s="25"/>
      <c r="R44" s="25"/>
    </row>
    <row r="45" spans="2:18" x14ac:dyDescent="0.3">
      <c r="B45" s="24"/>
      <c r="C45" s="24"/>
      <c r="D45" s="62"/>
      <c r="E45" s="25"/>
      <c r="F45" s="25"/>
      <c r="G45" s="25"/>
      <c r="H45" s="25"/>
      <c r="I45" s="25"/>
      <c r="J45" s="25"/>
      <c r="K45" s="25"/>
      <c r="L45" s="25"/>
      <c r="M45" s="25"/>
      <c r="N45" s="25"/>
      <c r="O45" s="25"/>
      <c r="P45" s="25"/>
      <c r="Q45" s="25"/>
      <c r="R45" s="25"/>
    </row>
    <row r="46" spans="2:18" x14ac:dyDescent="0.3">
      <c r="B46" s="24"/>
      <c r="C46" s="24"/>
      <c r="D46" s="62"/>
      <c r="E46" s="25"/>
      <c r="F46" s="25"/>
      <c r="G46" s="25"/>
      <c r="H46" s="25"/>
      <c r="I46" s="25"/>
      <c r="J46" s="25"/>
      <c r="K46" s="25"/>
      <c r="L46" s="25"/>
      <c r="M46" s="25"/>
      <c r="N46" s="25"/>
      <c r="O46" s="25"/>
      <c r="P46" s="25"/>
      <c r="Q46" s="25"/>
      <c r="R46" s="25"/>
    </row>
    <row r="47" spans="2:18" x14ac:dyDescent="0.3">
      <c r="B47" s="24"/>
      <c r="C47" s="24"/>
      <c r="D47" s="62"/>
      <c r="E47" s="25"/>
      <c r="F47" s="25"/>
      <c r="G47" s="25"/>
      <c r="H47" s="25"/>
      <c r="I47" s="25"/>
      <c r="J47" s="25"/>
      <c r="K47" s="25"/>
      <c r="L47" s="25"/>
      <c r="M47" s="25"/>
      <c r="N47" s="25"/>
      <c r="O47" s="25"/>
      <c r="P47" s="25"/>
      <c r="Q47" s="25"/>
      <c r="R47" s="25"/>
    </row>
    <row r="48" spans="2:18" x14ac:dyDescent="0.3">
      <c r="B48" s="24"/>
      <c r="C48" s="24"/>
      <c r="D48" s="62"/>
      <c r="E48" s="25"/>
      <c r="F48" s="25"/>
      <c r="G48" s="25"/>
      <c r="H48" s="25"/>
      <c r="I48" s="25"/>
      <c r="J48" s="25"/>
      <c r="K48" s="25"/>
      <c r="L48" s="25"/>
      <c r="M48" s="25"/>
      <c r="N48" s="25"/>
      <c r="O48" s="25"/>
      <c r="P48" s="25"/>
      <c r="Q48" s="25"/>
      <c r="R48" s="25"/>
    </row>
    <row r="49" spans="2:18" x14ac:dyDescent="0.3">
      <c r="B49" s="24"/>
      <c r="C49" s="24"/>
      <c r="D49" s="62"/>
      <c r="E49" s="25"/>
      <c r="F49" s="25"/>
      <c r="G49" s="25"/>
      <c r="H49" s="25"/>
      <c r="I49" s="25"/>
      <c r="J49" s="25"/>
      <c r="K49" s="25"/>
      <c r="L49" s="25"/>
      <c r="M49" s="25"/>
      <c r="N49" s="25"/>
      <c r="O49" s="25"/>
      <c r="P49" s="25"/>
      <c r="Q49" s="25"/>
      <c r="R49" s="25"/>
    </row>
    <row r="50" spans="2:18" x14ac:dyDescent="0.3">
      <c r="B50" s="24"/>
      <c r="C50" s="24"/>
      <c r="D50" s="62"/>
      <c r="E50" s="25"/>
      <c r="F50" s="25"/>
      <c r="G50" s="25"/>
      <c r="H50" s="25"/>
      <c r="I50" s="25"/>
      <c r="J50" s="25"/>
      <c r="K50" s="25"/>
      <c r="L50" s="25"/>
      <c r="M50" s="25"/>
      <c r="N50" s="25"/>
      <c r="O50" s="25"/>
      <c r="P50" s="25"/>
      <c r="Q50" s="25"/>
      <c r="R50" s="25"/>
    </row>
    <row r="51" spans="2:18" x14ac:dyDescent="0.3">
      <c r="B51" s="24"/>
      <c r="C51" s="24"/>
      <c r="D51" s="62"/>
      <c r="E51" s="25"/>
      <c r="F51" s="25"/>
      <c r="G51" s="25"/>
      <c r="H51" s="25"/>
      <c r="I51" s="25"/>
      <c r="J51" s="25"/>
      <c r="K51" s="25"/>
      <c r="L51" s="25"/>
      <c r="M51" s="25"/>
      <c r="N51" s="25"/>
      <c r="O51" s="25"/>
      <c r="P51" s="25"/>
      <c r="Q51" s="25"/>
      <c r="R51" s="25"/>
    </row>
    <row r="52" spans="2:18" x14ac:dyDescent="0.3">
      <c r="B52" s="24"/>
      <c r="C52" s="24"/>
      <c r="D52" s="62"/>
      <c r="E52" s="25"/>
      <c r="F52" s="25"/>
      <c r="G52" s="25"/>
      <c r="H52" s="25"/>
      <c r="I52" s="25"/>
      <c r="J52" s="25"/>
      <c r="K52" s="25"/>
      <c r="L52" s="25"/>
      <c r="M52" s="25"/>
      <c r="N52" s="25"/>
      <c r="O52" s="25"/>
      <c r="P52" s="25"/>
      <c r="Q52" s="25"/>
      <c r="R52" s="25"/>
    </row>
    <row r="53" spans="2:18" x14ac:dyDescent="0.3">
      <c r="B53" s="24"/>
      <c r="C53" s="24"/>
      <c r="D53" s="62"/>
      <c r="E53" s="25"/>
      <c r="F53" s="25"/>
      <c r="G53" s="25"/>
      <c r="H53" s="25"/>
      <c r="I53" s="25"/>
      <c r="J53" s="25"/>
      <c r="K53" s="25"/>
      <c r="L53" s="25"/>
      <c r="M53" s="25"/>
      <c r="N53" s="25"/>
      <c r="O53" s="25"/>
      <c r="P53" s="25"/>
      <c r="Q53" s="25"/>
      <c r="R53" s="25"/>
    </row>
    <row r="54" spans="2:18" x14ac:dyDescent="0.3">
      <c r="B54" s="24"/>
      <c r="C54" s="24"/>
      <c r="D54" s="62"/>
      <c r="E54" s="25"/>
      <c r="F54" s="25"/>
      <c r="G54" s="25"/>
      <c r="H54" s="25"/>
      <c r="I54" s="25"/>
      <c r="J54" s="25"/>
      <c r="K54" s="25"/>
      <c r="L54" s="25"/>
      <c r="M54" s="25"/>
      <c r="N54" s="25"/>
      <c r="O54" s="25"/>
      <c r="P54" s="25"/>
      <c r="Q54" s="25"/>
      <c r="R54" s="25"/>
    </row>
    <row r="55" spans="2:18" x14ac:dyDescent="0.3">
      <c r="B55" s="24"/>
      <c r="C55" s="24"/>
      <c r="D55" s="62"/>
      <c r="E55" s="25"/>
      <c r="F55" s="25"/>
      <c r="G55" s="25"/>
      <c r="H55" s="25"/>
      <c r="I55" s="25"/>
      <c r="J55" s="25"/>
      <c r="K55" s="25"/>
      <c r="L55" s="25"/>
      <c r="M55" s="25"/>
      <c r="N55" s="25"/>
      <c r="O55" s="25"/>
      <c r="P55" s="25"/>
      <c r="Q55" s="25"/>
      <c r="R55" s="25"/>
    </row>
    <row r="56" spans="2:18" x14ac:dyDescent="0.3">
      <c r="B56" s="24"/>
      <c r="C56" s="24"/>
      <c r="D56" s="62"/>
      <c r="E56" s="25"/>
      <c r="F56" s="25"/>
      <c r="G56" s="25"/>
      <c r="H56" s="25"/>
      <c r="I56" s="25"/>
      <c r="J56" s="25"/>
      <c r="K56" s="25"/>
      <c r="L56" s="25"/>
      <c r="M56" s="25"/>
      <c r="N56" s="25"/>
      <c r="O56" s="25"/>
      <c r="P56" s="25"/>
      <c r="Q56" s="25"/>
      <c r="R56" s="25"/>
    </row>
    <row r="57" spans="2:18" x14ac:dyDescent="0.3">
      <c r="B57" s="24"/>
      <c r="C57" s="24"/>
      <c r="D57" s="62"/>
      <c r="E57" s="25"/>
      <c r="F57" s="25"/>
      <c r="G57" s="25"/>
      <c r="H57" s="25"/>
      <c r="I57" s="25"/>
      <c r="J57" s="25"/>
      <c r="K57" s="25"/>
      <c r="L57" s="25"/>
      <c r="M57" s="25"/>
      <c r="N57" s="25"/>
      <c r="O57" s="25"/>
      <c r="P57" s="25"/>
      <c r="Q57" s="25"/>
      <c r="R57" s="25"/>
    </row>
    <row r="58" spans="2:18" x14ac:dyDescent="0.3">
      <c r="B58" s="24"/>
      <c r="C58" s="24"/>
      <c r="D58" s="62"/>
      <c r="E58" s="25"/>
      <c r="F58" s="25"/>
      <c r="G58" s="25"/>
      <c r="H58" s="25"/>
      <c r="I58" s="25"/>
      <c r="J58" s="25"/>
      <c r="K58" s="25"/>
      <c r="L58" s="25"/>
      <c r="M58" s="25"/>
      <c r="N58" s="25"/>
      <c r="O58" s="25"/>
      <c r="P58" s="25"/>
      <c r="Q58" s="25"/>
      <c r="R58" s="25"/>
    </row>
    <row r="59" spans="2:18" x14ac:dyDescent="0.3">
      <c r="B59" s="24"/>
      <c r="C59" s="24"/>
      <c r="D59" s="62"/>
      <c r="E59" s="25"/>
      <c r="F59" s="25"/>
      <c r="G59" s="25"/>
      <c r="H59" s="25"/>
      <c r="I59" s="25"/>
      <c r="J59" s="25"/>
      <c r="K59" s="25"/>
      <c r="L59" s="25"/>
      <c r="M59" s="25"/>
      <c r="N59" s="25"/>
      <c r="O59" s="25"/>
      <c r="P59" s="25"/>
      <c r="Q59" s="25"/>
      <c r="R59" s="25"/>
    </row>
    <row r="60" spans="2:18" x14ac:dyDescent="0.3">
      <c r="B60" s="24"/>
      <c r="C60" s="24"/>
      <c r="D60" s="62"/>
      <c r="E60" s="25"/>
      <c r="F60" s="25"/>
      <c r="G60" s="25"/>
      <c r="H60" s="25"/>
      <c r="I60" s="25"/>
      <c r="J60" s="25"/>
      <c r="K60" s="25"/>
      <c r="L60" s="25"/>
      <c r="M60" s="25"/>
      <c r="N60" s="25"/>
      <c r="O60" s="25"/>
      <c r="P60" s="25"/>
      <c r="Q60" s="25"/>
      <c r="R60" s="25"/>
    </row>
    <row r="61" spans="2:18" x14ac:dyDescent="0.3">
      <c r="B61" s="24"/>
      <c r="C61" s="24"/>
      <c r="D61" s="62"/>
      <c r="E61" s="25"/>
      <c r="F61" s="25"/>
      <c r="G61" s="25"/>
      <c r="H61" s="25"/>
      <c r="I61" s="25"/>
      <c r="J61" s="25"/>
      <c r="K61" s="25"/>
      <c r="L61" s="25"/>
      <c r="M61" s="25"/>
      <c r="N61" s="25"/>
      <c r="O61" s="25"/>
      <c r="P61" s="25"/>
      <c r="Q61" s="25"/>
      <c r="R61" s="25"/>
    </row>
    <row r="62" spans="2:18" x14ac:dyDescent="0.3">
      <c r="B62" s="24"/>
      <c r="C62" s="24"/>
      <c r="D62" s="62"/>
      <c r="E62" s="25"/>
      <c r="F62" s="25"/>
      <c r="G62" s="25"/>
      <c r="H62" s="25"/>
      <c r="I62" s="25"/>
      <c r="J62" s="25"/>
      <c r="K62" s="25"/>
      <c r="L62" s="25"/>
      <c r="M62" s="25"/>
      <c r="N62" s="25"/>
      <c r="O62" s="25"/>
      <c r="P62" s="25"/>
      <c r="Q62" s="25"/>
      <c r="R62" s="25"/>
    </row>
    <row r="63" spans="2:18" x14ac:dyDescent="0.3">
      <c r="B63" s="24"/>
      <c r="C63" s="24"/>
      <c r="D63" s="62"/>
      <c r="E63" s="25"/>
      <c r="F63" s="25"/>
      <c r="G63" s="25"/>
      <c r="H63" s="25"/>
      <c r="I63" s="25"/>
      <c r="J63" s="25"/>
      <c r="K63" s="25"/>
      <c r="L63" s="25"/>
      <c r="M63" s="25"/>
      <c r="N63" s="25"/>
      <c r="O63" s="25"/>
      <c r="P63" s="25"/>
      <c r="Q63" s="25"/>
      <c r="R63" s="25"/>
    </row>
    <row r="64" spans="2:18" x14ac:dyDescent="0.3">
      <c r="B64" s="24"/>
      <c r="C64" s="24"/>
      <c r="D64" s="62"/>
      <c r="E64" s="25"/>
      <c r="F64" s="25"/>
      <c r="G64" s="25"/>
      <c r="H64" s="25"/>
      <c r="I64" s="25"/>
      <c r="J64" s="25"/>
      <c r="K64" s="25"/>
      <c r="L64" s="25"/>
      <c r="M64" s="25"/>
      <c r="N64" s="25"/>
      <c r="O64" s="25"/>
      <c r="P64" s="25"/>
      <c r="Q64" s="25"/>
      <c r="R64" s="25"/>
    </row>
    <row r="65" spans="2:18" x14ac:dyDescent="0.3">
      <c r="B65" s="24"/>
      <c r="C65" s="24"/>
      <c r="D65" s="62"/>
      <c r="E65" s="25"/>
      <c r="F65" s="25"/>
      <c r="G65" s="25"/>
      <c r="H65" s="25"/>
      <c r="I65" s="25"/>
      <c r="J65" s="25"/>
      <c r="K65" s="25"/>
      <c r="L65" s="25"/>
      <c r="M65" s="25"/>
      <c r="N65" s="25"/>
      <c r="O65" s="25"/>
      <c r="P65" s="25"/>
      <c r="Q65" s="25"/>
      <c r="R65" s="25"/>
    </row>
    <row r="66" spans="2:18" x14ac:dyDescent="0.3">
      <c r="B66" s="24"/>
      <c r="C66" s="24"/>
      <c r="D66" s="62"/>
      <c r="E66" s="25"/>
      <c r="F66" s="25"/>
      <c r="G66" s="25"/>
      <c r="H66" s="25"/>
      <c r="I66" s="25"/>
      <c r="J66" s="25"/>
      <c r="K66" s="25"/>
      <c r="L66" s="25"/>
      <c r="M66" s="25"/>
      <c r="N66" s="25"/>
      <c r="O66" s="25"/>
      <c r="P66" s="25"/>
      <c r="Q66" s="25"/>
      <c r="R66" s="25"/>
    </row>
    <row r="67" spans="2:18" x14ac:dyDescent="0.3">
      <c r="B67" s="24"/>
      <c r="C67" s="24"/>
      <c r="D67" s="62"/>
      <c r="E67" s="25"/>
      <c r="F67" s="25"/>
      <c r="G67" s="25"/>
      <c r="H67" s="25"/>
      <c r="I67" s="25"/>
      <c r="J67" s="25"/>
      <c r="K67" s="25"/>
      <c r="L67" s="25"/>
      <c r="M67" s="25"/>
      <c r="N67" s="25"/>
      <c r="O67" s="25"/>
      <c r="P67" s="25"/>
      <c r="Q67" s="25"/>
      <c r="R67" s="25"/>
    </row>
    <row r="68" spans="2:18" x14ac:dyDescent="0.3">
      <c r="B68" s="24"/>
      <c r="C68" s="24"/>
      <c r="D68" s="62"/>
      <c r="E68" s="25"/>
      <c r="F68" s="25"/>
      <c r="G68" s="25"/>
      <c r="H68" s="25"/>
      <c r="I68" s="25"/>
      <c r="J68" s="25"/>
      <c r="K68" s="25"/>
      <c r="L68" s="25"/>
      <c r="M68" s="25"/>
      <c r="N68" s="25"/>
      <c r="O68" s="25"/>
      <c r="P68" s="25"/>
      <c r="Q68" s="25"/>
      <c r="R68" s="25"/>
    </row>
    <row r="69" spans="2:18" x14ac:dyDescent="0.3">
      <c r="B69" s="24"/>
      <c r="C69" s="24"/>
      <c r="D69" s="62"/>
      <c r="E69" s="25"/>
      <c r="F69" s="25"/>
      <c r="G69" s="25"/>
      <c r="H69" s="25"/>
      <c r="I69" s="25"/>
      <c r="J69" s="25"/>
      <c r="K69" s="25"/>
      <c r="L69" s="25"/>
      <c r="M69" s="25"/>
      <c r="N69" s="25"/>
      <c r="O69" s="25"/>
      <c r="P69" s="25"/>
      <c r="Q69" s="25"/>
      <c r="R69" s="25"/>
    </row>
    <row r="70" spans="2:18" x14ac:dyDescent="0.3">
      <c r="B70" s="24"/>
      <c r="C70" s="24"/>
      <c r="D70" s="62"/>
      <c r="E70" s="25"/>
      <c r="F70" s="25"/>
      <c r="G70" s="25"/>
      <c r="H70" s="25"/>
      <c r="I70" s="25"/>
      <c r="J70" s="25"/>
      <c r="K70" s="25"/>
      <c r="L70" s="25"/>
      <c r="M70" s="25"/>
      <c r="N70" s="25"/>
      <c r="O70" s="25"/>
      <c r="P70" s="25"/>
      <c r="Q70" s="25"/>
      <c r="R70" s="25"/>
    </row>
    <row r="71" spans="2:18" x14ac:dyDescent="0.3">
      <c r="B71" s="24"/>
      <c r="C71" s="24"/>
      <c r="D71" s="62"/>
      <c r="E71" s="25"/>
      <c r="F71" s="25"/>
      <c r="G71" s="25"/>
      <c r="H71" s="25"/>
      <c r="I71" s="25"/>
      <c r="J71" s="25"/>
      <c r="K71" s="25"/>
      <c r="L71" s="25"/>
      <c r="M71" s="25"/>
      <c r="N71" s="25"/>
      <c r="O71" s="25"/>
      <c r="P71" s="25"/>
      <c r="Q71" s="25"/>
      <c r="R71" s="25"/>
    </row>
    <row r="72" spans="2:18" x14ac:dyDescent="0.3">
      <c r="B72" s="24"/>
      <c r="C72" s="24"/>
      <c r="D72" s="62"/>
      <c r="E72" s="25"/>
      <c r="F72" s="25"/>
      <c r="G72" s="25"/>
      <c r="H72" s="25"/>
      <c r="I72" s="25"/>
      <c r="J72" s="25"/>
      <c r="K72" s="25"/>
      <c r="L72" s="25"/>
      <c r="M72" s="25"/>
      <c r="N72" s="25"/>
      <c r="O72" s="25"/>
      <c r="P72" s="25"/>
      <c r="Q72" s="25"/>
      <c r="R72" s="25"/>
    </row>
    <row r="73" spans="2:18" x14ac:dyDescent="0.3">
      <c r="B73" s="24"/>
      <c r="C73" s="24"/>
      <c r="D73" s="62"/>
      <c r="E73" s="25"/>
      <c r="F73" s="25"/>
      <c r="G73" s="25"/>
      <c r="H73" s="25"/>
      <c r="I73" s="25"/>
      <c r="J73" s="25"/>
      <c r="K73" s="25"/>
      <c r="L73" s="25"/>
      <c r="M73" s="25"/>
      <c r="N73" s="25"/>
      <c r="O73" s="25"/>
      <c r="P73" s="25"/>
      <c r="Q73" s="25"/>
      <c r="R73" s="25"/>
    </row>
    <row r="74" spans="2:18" x14ac:dyDescent="0.3">
      <c r="B74" s="24"/>
      <c r="C74" s="24"/>
      <c r="D74" s="62"/>
      <c r="E74" s="25"/>
      <c r="F74" s="25"/>
      <c r="G74" s="25"/>
      <c r="H74" s="25"/>
      <c r="I74" s="25"/>
      <c r="J74" s="25"/>
      <c r="K74" s="25"/>
      <c r="L74" s="25"/>
      <c r="M74" s="25"/>
      <c r="N74" s="25"/>
      <c r="O74" s="25"/>
      <c r="P74" s="25"/>
      <c r="Q74" s="25"/>
      <c r="R74" s="25"/>
    </row>
    <row r="75" spans="2:18" x14ac:dyDescent="0.3">
      <c r="B75" s="24"/>
      <c r="C75" s="24"/>
      <c r="D75" s="62"/>
      <c r="E75" s="25"/>
      <c r="F75" s="25"/>
      <c r="G75" s="25"/>
      <c r="H75" s="25"/>
      <c r="I75" s="25"/>
      <c r="J75" s="25"/>
      <c r="K75" s="25"/>
      <c r="L75" s="25"/>
      <c r="M75" s="25"/>
      <c r="N75" s="25"/>
      <c r="O75" s="25"/>
      <c r="P75" s="25"/>
      <c r="Q75" s="25"/>
      <c r="R75" s="25"/>
    </row>
    <row r="76" spans="2:18" x14ac:dyDescent="0.3">
      <c r="B76" s="24"/>
      <c r="C76" s="24"/>
      <c r="D76" s="62"/>
      <c r="E76" s="25"/>
      <c r="F76" s="25"/>
      <c r="G76" s="25"/>
      <c r="H76" s="25"/>
      <c r="I76" s="25"/>
      <c r="J76" s="25"/>
      <c r="K76" s="25"/>
      <c r="L76" s="25"/>
      <c r="M76" s="25"/>
      <c r="N76" s="25"/>
      <c r="O76" s="25"/>
      <c r="P76" s="25"/>
      <c r="Q76" s="25"/>
      <c r="R76" s="25"/>
    </row>
    <row r="77" spans="2:18" x14ac:dyDescent="0.3">
      <c r="B77" s="24"/>
      <c r="C77" s="24"/>
      <c r="D77" s="62"/>
      <c r="E77" s="25"/>
      <c r="F77" s="25"/>
      <c r="G77" s="25"/>
      <c r="H77" s="25"/>
      <c r="I77" s="25"/>
      <c r="J77" s="25"/>
      <c r="K77" s="25"/>
      <c r="L77" s="25"/>
      <c r="M77" s="25"/>
      <c r="N77" s="25"/>
      <c r="O77" s="25"/>
      <c r="P77" s="25"/>
      <c r="Q77" s="25"/>
      <c r="R77" s="25"/>
    </row>
    <row r="78" spans="2:18" x14ac:dyDescent="0.3">
      <c r="B78" s="24"/>
      <c r="C78" s="24"/>
      <c r="D78" s="62"/>
      <c r="E78" s="25"/>
      <c r="F78" s="25"/>
      <c r="G78" s="25"/>
      <c r="H78" s="25"/>
      <c r="I78" s="25"/>
      <c r="J78" s="25"/>
      <c r="K78" s="25"/>
      <c r="L78" s="25"/>
      <c r="M78" s="25"/>
      <c r="N78" s="25"/>
      <c r="O78" s="25"/>
      <c r="P78" s="25"/>
      <c r="Q78" s="25"/>
      <c r="R78" s="25"/>
    </row>
    <row r="79" spans="2:18" x14ac:dyDescent="0.3">
      <c r="B79" s="24"/>
      <c r="C79" s="24"/>
      <c r="D79" s="62"/>
      <c r="E79" s="25"/>
      <c r="F79" s="25"/>
      <c r="G79" s="25"/>
      <c r="H79" s="25"/>
      <c r="I79" s="25"/>
      <c r="J79" s="25"/>
      <c r="K79" s="25"/>
      <c r="L79" s="25"/>
      <c r="M79" s="25"/>
      <c r="N79" s="25"/>
      <c r="O79" s="25"/>
      <c r="P79" s="25"/>
      <c r="Q79" s="25"/>
      <c r="R79" s="25"/>
    </row>
    <row r="80" spans="2:18" x14ac:dyDescent="0.3">
      <c r="B80" s="24"/>
      <c r="C80" s="24"/>
      <c r="D80" s="62"/>
      <c r="E80" s="25"/>
      <c r="F80" s="25"/>
      <c r="G80" s="25"/>
      <c r="H80" s="25"/>
      <c r="I80" s="25"/>
      <c r="J80" s="25"/>
      <c r="K80" s="25"/>
      <c r="L80" s="25"/>
      <c r="M80" s="25"/>
      <c r="N80" s="25"/>
      <c r="O80" s="25"/>
      <c r="P80" s="25"/>
      <c r="Q80" s="25"/>
      <c r="R80" s="25"/>
    </row>
    <row r="81" spans="2:18" x14ac:dyDescent="0.3">
      <c r="B81" s="24"/>
      <c r="C81" s="24"/>
      <c r="D81" s="62"/>
      <c r="E81" s="25"/>
      <c r="F81" s="25"/>
      <c r="G81" s="25"/>
      <c r="H81" s="25"/>
      <c r="I81" s="25"/>
      <c r="J81" s="25"/>
      <c r="K81" s="25"/>
      <c r="L81" s="25"/>
      <c r="M81" s="25"/>
      <c r="N81" s="25"/>
      <c r="O81" s="25"/>
      <c r="P81" s="25"/>
      <c r="Q81" s="25"/>
      <c r="R81" s="25"/>
    </row>
    <row r="82" spans="2:18" x14ac:dyDescent="0.3">
      <c r="B82" s="24"/>
      <c r="C82" s="24"/>
      <c r="D82" s="62"/>
      <c r="E82" s="25"/>
      <c r="F82" s="25"/>
      <c r="G82" s="25"/>
      <c r="H82" s="25"/>
      <c r="I82" s="25"/>
      <c r="J82" s="25"/>
      <c r="K82" s="25"/>
      <c r="L82" s="25"/>
      <c r="M82" s="25"/>
      <c r="N82" s="25"/>
      <c r="O82" s="25"/>
      <c r="P82" s="25"/>
      <c r="Q82" s="25"/>
      <c r="R82" s="25"/>
    </row>
    <row r="83" spans="2:18" x14ac:dyDescent="0.3">
      <c r="B83" s="24"/>
      <c r="C83" s="24"/>
      <c r="D83" s="62"/>
      <c r="E83" s="25"/>
      <c r="F83" s="25"/>
      <c r="G83" s="25"/>
      <c r="H83" s="25"/>
      <c r="I83" s="25"/>
      <c r="J83" s="25"/>
      <c r="K83" s="25"/>
      <c r="L83" s="25"/>
      <c r="M83" s="25"/>
      <c r="N83" s="25"/>
      <c r="O83" s="25"/>
      <c r="P83" s="25"/>
      <c r="Q83" s="25"/>
      <c r="R83" s="25"/>
    </row>
    <row r="84" spans="2:18" x14ac:dyDescent="0.3">
      <c r="B84" s="24"/>
      <c r="C84" s="24"/>
      <c r="D84" s="62"/>
      <c r="E84" s="25"/>
      <c r="F84" s="25"/>
      <c r="G84" s="25"/>
      <c r="H84" s="25"/>
      <c r="I84" s="25"/>
      <c r="J84" s="25"/>
      <c r="K84" s="25"/>
      <c r="L84" s="25"/>
      <c r="M84" s="25"/>
      <c r="N84" s="25"/>
      <c r="O84" s="25"/>
      <c r="P84" s="25"/>
      <c r="Q84" s="25"/>
      <c r="R84" s="25"/>
    </row>
    <row r="85" spans="2:18" x14ac:dyDescent="0.3">
      <c r="B85" s="24"/>
      <c r="C85" s="24"/>
      <c r="D85" s="62"/>
      <c r="E85" s="25"/>
      <c r="F85" s="25"/>
      <c r="G85" s="25"/>
      <c r="H85" s="25"/>
      <c r="I85" s="25"/>
      <c r="J85" s="25"/>
      <c r="K85" s="25"/>
      <c r="L85" s="25"/>
      <c r="M85" s="25"/>
      <c r="N85" s="25"/>
      <c r="O85" s="25"/>
      <c r="P85" s="25"/>
      <c r="Q85" s="25"/>
      <c r="R85" s="25"/>
    </row>
    <row r="86" spans="2:18" x14ac:dyDescent="0.3">
      <c r="B86" s="24"/>
      <c r="C86" s="24"/>
      <c r="D86" s="62"/>
      <c r="E86" s="25"/>
      <c r="F86" s="25"/>
      <c r="G86" s="25"/>
      <c r="H86" s="25"/>
      <c r="I86" s="25"/>
      <c r="J86" s="25"/>
      <c r="K86" s="25"/>
      <c r="L86" s="25"/>
      <c r="M86" s="25"/>
      <c r="N86" s="25"/>
      <c r="O86" s="25"/>
      <c r="P86" s="25"/>
      <c r="Q86" s="25"/>
      <c r="R86" s="25"/>
    </row>
    <row r="87" spans="2:18" x14ac:dyDescent="0.3">
      <c r="B87" s="24"/>
      <c r="C87" s="24"/>
      <c r="D87" s="62"/>
      <c r="E87" s="25"/>
      <c r="F87" s="25"/>
      <c r="G87" s="25"/>
      <c r="H87" s="25"/>
      <c r="I87" s="25"/>
      <c r="J87" s="25"/>
      <c r="K87" s="25"/>
      <c r="L87" s="25"/>
      <c r="M87" s="25"/>
      <c r="N87" s="25"/>
      <c r="O87" s="25"/>
      <c r="P87" s="25"/>
      <c r="Q87" s="25"/>
      <c r="R87" s="25"/>
    </row>
    <row r="88" spans="2:18" x14ac:dyDescent="0.3">
      <c r="B88" s="24"/>
      <c r="C88" s="24"/>
      <c r="D88" s="62"/>
      <c r="E88" s="25"/>
      <c r="F88" s="25"/>
      <c r="G88" s="25"/>
      <c r="H88" s="25"/>
      <c r="I88" s="25"/>
      <c r="J88" s="25"/>
      <c r="K88" s="25"/>
      <c r="L88" s="25"/>
      <c r="M88" s="25"/>
      <c r="N88" s="25"/>
      <c r="O88" s="25"/>
      <c r="P88" s="25"/>
      <c r="Q88" s="25"/>
      <c r="R88" s="25"/>
    </row>
    <row r="89" spans="2:18" x14ac:dyDescent="0.3">
      <c r="B89" s="24"/>
      <c r="C89" s="24"/>
      <c r="D89" s="62"/>
      <c r="E89" s="25"/>
      <c r="F89" s="25"/>
      <c r="G89" s="25"/>
      <c r="H89" s="25"/>
      <c r="I89" s="25"/>
      <c r="J89" s="25"/>
      <c r="K89" s="25"/>
      <c r="L89" s="25"/>
      <c r="M89" s="25"/>
      <c r="N89" s="25"/>
      <c r="O89" s="25"/>
      <c r="P89" s="25"/>
      <c r="Q89" s="25"/>
      <c r="R89" s="25"/>
    </row>
    <row r="90" spans="2:18" x14ac:dyDescent="0.3">
      <c r="B90" s="24"/>
      <c r="C90" s="24"/>
      <c r="D90" s="62"/>
      <c r="E90" s="25"/>
      <c r="F90" s="25"/>
      <c r="G90" s="25"/>
      <c r="H90" s="25"/>
      <c r="I90" s="25"/>
      <c r="J90" s="25"/>
      <c r="K90" s="25"/>
      <c r="L90" s="25"/>
      <c r="M90" s="25"/>
      <c r="N90" s="25"/>
      <c r="O90" s="25"/>
      <c r="P90" s="25"/>
      <c r="Q90" s="25"/>
      <c r="R90" s="25"/>
    </row>
    <row r="91" spans="2:18" x14ac:dyDescent="0.3">
      <c r="B91" s="24"/>
      <c r="C91" s="24"/>
      <c r="D91" s="62"/>
      <c r="E91" s="25"/>
      <c r="F91" s="25"/>
      <c r="G91" s="25"/>
      <c r="H91" s="25"/>
      <c r="I91" s="25"/>
      <c r="J91" s="25"/>
      <c r="K91" s="25"/>
      <c r="L91" s="25"/>
      <c r="M91" s="25"/>
      <c r="N91" s="25"/>
      <c r="O91" s="25"/>
      <c r="P91" s="25"/>
      <c r="Q91" s="25"/>
      <c r="R91" s="25"/>
    </row>
    <row r="92" spans="2:18" x14ac:dyDescent="0.3">
      <c r="B92" s="24"/>
      <c r="C92" s="24"/>
      <c r="D92" s="62"/>
      <c r="E92" s="25"/>
      <c r="F92" s="25"/>
      <c r="G92" s="25"/>
      <c r="H92" s="25"/>
      <c r="I92" s="25"/>
      <c r="J92" s="25"/>
      <c r="K92" s="25"/>
      <c r="L92" s="25"/>
      <c r="M92" s="25"/>
      <c r="N92" s="25"/>
      <c r="O92" s="25"/>
      <c r="P92" s="25"/>
      <c r="Q92" s="25"/>
      <c r="R92" s="25"/>
    </row>
    <row r="93" spans="2:18" x14ac:dyDescent="0.3">
      <c r="B93" s="24"/>
      <c r="C93" s="24"/>
      <c r="D93" s="62"/>
      <c r="E93" s="25"/>
      <c r="F93" s="25"/>
      <c r="G93" s="25"/>
      <c r="H93" s="25"/>
      <c r="I93" s="25"/>
      <c r="J93" s="25"/>
      <c r="K93" s="25"/>
      <c r="L93" s="25"/>
      <c r="M93" s="25"/>
      <c r="N93" s="25"/>
      <c r="O93" s="25"/>
      <c r="P93" s="25"/>
      <c r="Q93" s="25"/>
      <c r="R93" s="25"/>
    </row>
    <row r="94" spans="2:18" x14ac:dyDescent="0.3">
      <c r="B94" s="24"/>
      <c r="C94" s="24"/>
      <c r="D94" s="62"/>
      <c r="E94" s="25"/>
      <c r="F94" s="25"/>
      <c r="G94" s="25"/>
      <c r="H94" s="25"/>
      <c r="I94" s="25"/>
      <c r="J94" s="25"/>
      <c r="K94" s="25"/>
      <c r="L94" s="25"/>
      <c r="M94" s="25"/>
      <c r="N94" s="25"/>
      <c r="O94" s="25"/>
      <c r="P94" s="25"/>
      <c r="Q94" s="25"/>
      <c r="R94" s="25"/>
    </row>
    <row r="95" spans="2:18" x14ac:dyDescent="0.3">
      <c r="B95" s="24"/>
      <c r="C95" s="24"/>
      <c r="D95" s="62"/>
      <c r="E95" s="25"/>
      <c r="F95" s="25"/>
      <c r="G95" s="25"/>
      <c r="H95" s="25"/>
      <c r="I95" s="25"/>
      <c r="J95" s="25"/>
      <c r="K95" s="25"/>
      <c r="L95" s="25"/>
      <c r="M95" s="25"/>
      <c r="N95" s="25"/>
      <c r="O95" s="25"/>
      <c r="P95" s="25"/>
      <c r="Q95" s="25"/>
      <c r="R95" s="25"/>
    </row>
    <row r="96" spans="2:18" x14ac:dyDescent="0.3">
      <c r="B96" s="24"/>
      <c r="C96" s="24"/>
      <c r="D96" s="62"/>
      <c r="E96" s="25"/>
      <c r="F96" s="25"/>
      <c r="G96" s="25"/>
      <c r="H96" s="25"/>
      <c r="I96" s="25"/>
      <c r="J96" s="25"/>
      <c r="K96" s="25"/>
      <c r="L96" s="25"/>
      <c r="M96" s="25"/>
      <c r="N96" s="25"/>
      <c r="O96" s="25"/>
      <c r="P96" s="25"/>
      <c r="Q96" s="25"/>
      <c r="R96" s="25"/>
    </row>
    <row r="97" spans="2:18" x14ac:dyDescent="0.3">
      <c r="B97" s="24"/>
      <c r="C97" s="24"/>
      <c r="D97" s="62"/>
      <c r="E97" s="25"/>
      <c r="F97" s="25"/>
      <c r="G97" s="25"/>
      <c r="H97" s="25"/>
      <c r="I97" s="25"/>
      <c r="J97" s="25"/>
      <c r="K97" s="25"/>
      <c r="L97" s="25"/>
      <c r="M97" s="25"/>
      <c r="N97" s="25"/>
      <c r="O97" s="25"/>
      <c r="P97" s="25"/>
      <c r="Q97" s="25"/>
      <c r="R97" s="25"/>
    </row>
    <row r="98" spans="2:18" x14ac:dyDescent="0.3">
      <c r="B98" s="24"/>
      <c r="C98" s="24"/>
      <c r="D98" s="62"/>
      <c r="E98" s="25"/>
      <c r="F98" s="25"/>
      <c r="G98" s="25"/>
      <c r="H98" s="25"/>
      <c r="I98" s="25"/>
      <c r="J98" s="25"/>
      <c r="K98" s="25"/>
      <c r="L98" s="25"/>
      <c r="M98" s="25"/>
      <c r="N98" s="25"/>
      <c r="O98" s="25"/>
      <c r="P98" s="25"/>
      <c r="Q98" s="25"/>
      <c r="R98" s="25"/>
    </row>
    <row r="99" spans="2:18" x14ac:dyDescent="0.3">
      <c r="B99" s="24"/>
      <c r="C99" s="24"/>
      <c r="D99" s="62"/>
      <c r="E99" s="25"/>
      <c r="F99" s="25"/>
      <c r="G99" s="25"/>
      <c r="H99" s="25"/>
      <c r="I99" s="25"/>
      <c r="J99" s="25"/>
      <c r="K99" s="25"/>
      <c r="L99" s="25"/>
      <c r="M99" s="25"/>
      <c r="N99" s="25"/>
      <c r="O99" s="25"/>
      <c r="P99" s="25"/>
      <c r="Q99" s="25"/>
      <c r="R99" s="25"/>
    </row>
    <row r="100" spans="2:18" x14ac:dyDescent="0.3">
      <c r="B100" s="24"/>
      <c r="C100" s="24"/>
      <c r="D100" s="62"/>
      <c r="E100" s="25"/>
      <c r="F100" s="25"/>
      <c r="G100" s="25"/>
      <c r="H100" s="25"/>
      <c r="I100" s="25"/>
      <c r="J100" s="25"/>
      <c r="K100" s="25"/>
      <c r="L100" s="25"/>
      <c r="M100" s="25"/>
      <c r="N100" s="25"/>
      <c r="O100" s="25"/>
      <c r="P100" s="25"/>
      <c r="Q100" s="25"/>
      <c r="R100" s="25"/>
    </row>
    <row r="101" spans="2:18" x14ac:dyDescent="0.3">
      <c r="B101" s="24"/>
      <c r="C101" s="24"/>
      <c r="D101" s="62"/>
      <c r="E101" s="25"/>
      <c r="F101" s="25"/>
      <c r="G101" s="25"/>
      <c r="H101" s="25"/>
      <c r="I101" s="25"/>
      <c r="J101" s="25"/>
      <c r="K101" s="25"/>
      <c r="L101" s="25"/>
      <c r="M101" s="25"/>
      <c r="N101" s="25"/>
      <c r="O101" s="25"/>
      <c r="P101" s="25"/>
      <c r="Q101" s="25"/>
      <c r="R101" s="25"/>
    </row>
    <row r="102" spans="2:18" x14ac:dyDescent="0.3">
      <c r="B102" s="24"/>
      <c r="C102" s="24"/>
      <c r="D102" s="62"/>
      <c r="E102" s="25"/>
      <c r="F102" s="25"/>
      <c r="G102" s="25"/>
      <c r="H102" s="25"/>
      <c r="I102" s="25"/>
      <c r="J102" s="25"/>
      <c r="K102" s="25"/>
      <c r="L102" s="25"/>
      <c r="M102" s="25"/>
      <c r="N102" s="25"/>
      <c r="O102" s="25"/>
      <c r="P102" s="25"/>
      <c r="Q102" s="25"/>
      <c r="R102" s="25"/>
    </row>
    <row r="103" spans="2:18" x14ac:dyDescent="0.3">
      <c r="B103" s="24"/>
      <c r="C103" s="24"/>
      <c r="D103" s="62"/>
      <c r="E103" s="25"/>
      <c r="F103" s="25"/>
      <c r="G103" s="25"/>
      <c r="H103" s="25"/>
      <c r="I103" s="25"/>
      <c r="J103" s="25"/>
      <c r="K103" s="25"/>
      <c r="L103" s="25"/>
      <c r="M103" s="25"/>
      <c r="N103" s="25"/>
      <c r="O103" s="25"/>
      <c r="P103" s="25"/>
      <c r="Q103" s="25"/>
      <c r="R103" s="25"/>
    </row>
    <row r="104" spans="2:18" x14ac:dyDescent="0.3">
      <c r="B104" s="24"/>
      <c r="C104" s="24"/>
      <c r="D104" s="62"/>
      <c r="E104" s="25"/>
      <c r="F104" s="25"/>
      <c r="G104" s="25"/>
      <c r="H104" s="25"/>
      <c r="I104" s="25"/>
      <c r="J104" s="25"/>
      <c r="K104" s="25"/>
      <c r="L104" s="25"/>
      <c r="M104" s="25"/>
      <c r="N104" s="25"/>
      <c r="O104" s="25"/>
      <c r="P104" s="25"/>
      <c r="Q104" s="25"/>
      <c r="R104" s="25"/>
    </row>
    <row r="105" spans="2:18" x14ac:dyDescent="0.3">
      <c r="B105" s="24"/>
      <c r="C105" s="24"/>
      <c r="D105" s="62"/>
      <c r="E105" s="25"/>
      <c r="F105" s="25"/>
      <c r="G105" s="25"/>
      <c r="H105" s="25"/>
      <c r="I105" s="25"/>
      <c r="J105" s="25"/>
      <c r="K105" s="25"/>
      <c r="L105" s="25"/>
      <c r="M105" s="25"/>
      <c r="N105" s="25"/>
      <c r="O105" s="25"/>
      <c r="P105" s="25"/>
      <c r="Q105" s="25"/>
      <c r="R105" s="25"/>
    </row>
    <row r="106" spans="2:18" x14ac:dyDescent="0.3">
      <c r="B106" s="24"/>
      <c r="C106" s="24"/>
      <c r="D106" s="62"/>
      <c r="E106" s="25"/>
      <c r="F106" s="25"/>
      <c r="G106" s="25"/>
      <c r="H106" s="25"/>
      <c r="I106" s="25"/>
      <c r="J106" s="25"/>
      <c r="K106" s="25"/>
      <c r="L106" s="25"/>
      <c r="M106" s="25"/>
      <c r="N106" s="25"/>
      <c r="O106" s="25"/>
      <c r="P106" s="25"/>
      <c r="Q106" s="25"/>
      <c r="R106" s="25"/>
    </row>
    <row r="107" spans="2:18" x14ac:dyDescent="0.3">
      <c r="B107" s="24"/>
      <c r="C107" s="24"/>
      <c r="D107" s="62"/>
      <c r="E107" s="25"/>
      <c r="F107" s="25"/>
      <c r="G107" s="25"/>
      <c r="H107" s="25"/>
      <c r="I107" s="25"/>
      <c r="J107" s="25"/>
      <c r="K107" s="25"/>
      <c r="L107" s="25"/>
      <c r="M107" s="25"/>
      <c r="N107" s="25"/>
      <c r="O107" s="25"/>
      <c r="P107" s="25"/>
      <c r="Q107" s="25"/>
      <c r="R107" s="25"/>
    </row>
    <row r="108" spans="2:18" x14ac:dyDescent="0.3">
      <c r="B108" s="24"/>
      <c r="C108" s="24"/>
      <c r="D108" s="62"/>
      <c r="E108" s="25"/>
      <c r="F108" s="25"/>
      <c r="G108" s="25"/>
      <c r="H108" s="25"/>
      <c r="I108" s="25"/>
      <c r="J108" s="25"/>
      <c r="K108" s="25"/>
      <c r="L108" s="25"/>
      <c r="M108" s="25"/>
      <c r="N108" s="25"/>
      <c r="O108" s="25"/>
      <c r="P108" s="25"/>
      <c r="Q108" s="25"/>
      <c r="R108" s="25"/>
    </row>
    <row r="109" spans="2:18" x14ac:dyDescent="0.3">
      <c r="B109" s="24"/>
      <c r="C109" s="24"/>
      <c r="D109" s="62"/>
      <c r="E109" s="25"/>
      <c r="F109" s="25"/>
      <c r="G109" s="25"/>
      <c r="H109" s="25"/>
      <c r="I109" s="25"/>
      <c r="J109" s="25"/>
      <c r="K109" s="25"/>
      <c r="L109" s="25"/>
      <c r="M109" s="25"/>
      <c r="N109" s="25"/>
      <c r="O109" s="25"/>
      <c r="P109" s="25"/>
      <c r="Q109" s="25"/>
      <c r="R109" s="25"/>
    </row>
    <row r="110" spans="2:18" x14ac:dyDescent="0.3">
      <c r="B110" s="24"/>
      <c r="C110" s="24"/>
      <c r="D110" s="62"/>
      <c r="E110" s="25"/>
      <c r="F110" s="25"/>
      <c r="G110" s="25"/>
      <c r="H110" s="25"/>
      <c r="I110" s="25"/>
      <c r="J110" s="25"/>
      <c r="K110" s="25"/>
      <c r="L110" s="25"/>
      <c r="M110" s="25"/>
      <c r="N110" s="25"/>
      <c r="O110" s="25"/>
      <c r="P110" s="25"/>
      <c r="Q110" s="25"/>
      <c r="R110" s="25"/>
    </row>
    <row r="111" spans="2:18" x14ac:dyDescent="0.3">
      <c r="B111" s="24"/>
      <c r="C111" s="24"/>
      <c r="D111" s="62"/>
      <c r="E111" s="25"/>
      <c r="F111" s="25"/>
      <c r="G111" s="25"/>
      <c r="H111" s="25"/>
      <c r="I111" s="25"/>
      <c r="J111" s="25"/>
      <c r="K111" s="25"/>
      <c r="L111" s="25"/>
      <c r="M111" s="25"/>
      <c r="N111" s="25"/>
      <c r="O111" s="25"/>
      <c r="P111" s="25"/>
      <c r="Q111" s="25"/>
      <c r="R111" s="25"/>
    </row>
    <row r="112" spans="2:18" x14ac:dyDescent="0.3">
      <c r="B112" s="24"/>
      <c r="C112" s="24"/>
      <c r="D112" s="62"/>
      <c r="E112" s="25"/>
      <c r="F112" s="25"/>
      <c r="G112" s="25"/>
      <c r="H112" s="25"/>
      <c r="I112" s="25"/>
      <c r="J112" s="25"/>
      <c r="K112" s="25"/>
      <c r="L112" s="25"/>
      <c r="M112" s="25"/>
      <c r="N112" s="25"/>
      <c r="O112" s="25"/>
      <c r="P112" s="25"/>
      <c r="Q112" s="25"/>
      <c r="R112" s="25"/>
    </row>
    <row r="113" spans="2:18" x14ac:dyDescent="0.3">
      <c r="B113" s="24"/>
      <c r="C113" s="24"/>
      <c r="D113" s="62"/>
      <c r="E113" s="25"/>
      <c r="F113" s="25"/>
      <c r="G113" s="25"/>
      <c r="H113" s="25"/>
      <c r="I113" s="25"/>
      <c r="J113" s="25"/>
      <c r="K113" s="25"/>
      <c r="L113" s="25"/>
      <c r="M113" s="25"/>
      <c r="N113" s="25"/>
      <c r="O113" s="25"/>
      <c r="P113" s="25"/>
      <c r="Q113" s="25"/>
      <c r="R113" s="25"/>
    </row>
    <row r="114" spans="2:18" x14ac:dyDescent="0.3">
      <c r="B114" s="24"/>
      <c r="C114" s="24"/>
      <c r="D114" s="62"/>
      <c r="E114" s="25"/>
      <c r="F114" s="25"/>
      <c r="G114" s="25"/>
      <c r="H114" s="25"/>
      <c r="I114" s="25"/>
      <c r="J114" s="25"/>
      <c r="K114" s="25"/>
      <c r="L114" s="25"/>
      <c r="M114" s="25"/>
      <c r="N114" s="25"/>
      <c r="O114" s="25"/>
      <c r="P114" s="25"/>
      <c r="Q114" s="25"/>
      <c r="R114" s="25"/>
    </row>
    <row r="115" spans="2:18" x14ac:dyDescent="0.3">
      <c r="B115" s="24"/>
      <c r="C115" s="24"/>
      <c r="D115" s="62"/>
      <c r="E115" s="25"/>
      <c r="F115" s="25"/>
      <c r="G115" s="25"/>
      <c r="H115" s="25"/>
      <c r="I115" s="25"/>
      <c r="J115" s="25"/>
      <c r="K115" s="25"/>
      <c r="L115" s="25"/>
      <c r="M115" s="25"/>
      <c r="N115" s="25"/>
      <c r="O115" s="25"/>
      <c r="P115" s="25"/>
      <c r="Q115" s="25"/>
      <c r="R115" s="25"/>
    </row>
    <row r="116" spans="2:18" x14ac:dyDescent="0.3">
      <c r="B116" s="24"/>
      <c r="C116" s="24"/>
      <c r="D116" s="62"/>
      <c r="E116" s="25"/>
      <c r="F116" s="25"/>
      <c r="G116" s="25"/>
      <c r="H116" s="25"/>
      <c r="I116" s="25"/>
      <c r="J116" s="25"/>
      <c r="K116" s="25"/>
      <c r="L116" s="25"/>
      <c r="M116" s="25"/>
      <c r="N116" s="25"/>
      <c r="O116" s="25"/>
      <c r="P116" s="25"/>
      <c r="Q116" s="25"/>
      <c r="R116" s="25"/>
    </row>
    <row r="117" spans="2:18" x14ac:dyDescent="0.3">
      <c r="B117" s="24"/>
      <c r="C117" s="24"/>
      <c r="D117" s="62"/>
      <c r="E117" s="25"/>
      <c r="F117" s="25"/>
      <c r="G117" s="25"/>
      <c r="H117" s="25"/>
      <c r="I117" s="25"/>
      <c r="J117" s="25"/>
      <c r="K117" s="25"/>
      <c r="L117" s="25"/>
      <c r="M117" s="25"/>
      <c r="N117" s="25"/>
      <c r="O117" s="25"/>
      <c r="P117" s="25"/>
      <c r="Q117" s="25"/>
      <c r="R117" s="25"/>
    </row>
    <row r="118" spans="2:18" x14ac:dyDescent="0.3">
      <c r="B118" s="24"/>
      <c r="C118" s="24"/>
      <c r="D118" s="62"/>
      <c r="E118" s="25"/>
      <c r="F118" s="25"/>
      <c r="G118" s="25"/>
      <c r="H118" s="25"/>
      <c r="I118" s="25"/>
      <c r="J118" s="25"/>
      <c r="K118" s="25"/>
      <c r="L118" s="25"/>
      <c r="M118" s="25"/>
      <c r="N118" s="25"/>
      <c r="O118" s="25"/>
      <c r="P118" s="25"/>
      <c r="Q118" s="25"/>
      <c r="R118" s="25"/>
    </row>
    <row r="119" spans="2:18" x14ac:dyDescent="0.3">
      <c r="B119" s="24"/>
      <c r="C119" s="24"/>
      <c r="D119" s="62"/>
      <c r="E119" s="25"/>
      <c r="F119" s="25"/>
      <c r="G119" s="25"/>
      <c r="H119" s="25"/>
      <c r="I119" s="25"/>
      <c r="J119" s="25"/>
      <c r="K119" s="25"/>
      <c r="L119" s="25"/>
      <c r="M119" s="25"/>
      <c r="N119" s="25"/>
      <c r="O119" s="25"/>
      <c r="P119" s="25"/>
      <c r="Q119" s="25"/>
      <c r="R119" s="25"/>
    </row>
    <row r="120" spans="2:18" x14ac:dyDescent="0.3">
      <c r="B120" s="24"/>
      <c r="C120" s="24"/>
      <c r="D120" s="62"/>
      <c r="E120" s="25"/>
      <c r="F120" s="25"/>
      <c r="G120" s="25"/>
      <c r="H120" s="25"/>
      <c r="I120" s="25"/>
      <c r="J120" s="25"/>
      <c r="K120" s="25"/>
      <c r="L120" s="25"/>
      <c r="M120" s="25"/>
      <c r="N120" s="25"/>
      <c r="O120" s="25"/>
      <c r="P120" s="25"/>
      <c r="Q120" s="25"/>
      <c r="R120" s="25"/>
    </row>
    <row r="121" spans="2:18" x14ac:dyDescent="0.3">
      <c r="B121" s="24"/>
      <c r="C121" s="24"/>
      <c r="D121" s="62"/>
      <c r="E121" s="25"/>
      <c r="F121" s="25"/>
      <c r="G121" s="25"/>
      <c r="H121" s="25"/>
      <c r="I121" s="25"/>
      <c r="J121" s="25"/>
      <c r="K121" s="25"/>
      <c r="L121" s="25"/>
      <c r="M121" s="25"/>
      <c r="N121" s="25"/>
      <c r="O121" s="25"/>
      <c r="P121" s="25"/>
      <c r="Q121" s="25"/>
      <c r="R121" s="25"/>
    </row>
    <row r="122" spans="2:18" x14ac:dyDescent="0.3">
      <c r="B122" s="24"/>
      <c r="C122" s="24"/>
      <c r="D122" s="62"/>
      <c r="E122" s="25"/>
      <c r="F122" s="25"/>
      <c r="G122" s="25"/>
      <c r="H122" s="25"/>
      <c r="I122" s="25"/>
      <c r="J122" s="25"/>
      <c r="K122" s="25"/>
      <c r="L122" s="25"/>
      <c r="M122" s="25"/>
      <c r="N122" s="25"/>
      <c r="O122" s="25"/>
      <c r="P122" s="25"/>
      <c r="Q122" s="25"/>
      <c r="R122" s="25"/>
    </row>
    <row r="123" spans="2:18" x14ac:dyDescent="0.3">
      <c r="B123" s="24"/>
      <c r="C123" s="24"/>
      <c r="D123" s="62"/>
      <c r="E123" s="25"/>
      <c r="F123" s="25"/>
      <c r="G123" s="25"/>
      <c r="H123" s="25"/>
      <c r="I123" s="25"/>
      <c r="J123" s="25"/>
      <c r="K123" s="25"/>
      <c r="L123" s="25"/>
      <c r="M123" s="25"/>
      <c r="N123" s="25"/>
      <c r="O123" s="25"/>
      <c r="P123" s="25"/>
      <c r="Q123" s="25"/>
      <c r="R123" s="25"/>
    </row>
    <row r="124" spans="2:18" x14ac:dyDescent="0.3">
      <c r="B124" s="24"/>
      <c r="C124" s="24"/>
      <c r="D124" s="62"/>
      <c r="E124" s="25"/>
      <c r="F124" s="25"/>
      <c r="G124" s="25"/>
      <c r="H124" s="25"/>
      <c r="I124" s="25"/>
      <c r="J124" s="25"/>
      <c r="K124" s="25"/>
      <c r="L124" s="25"/>
      <c r="M124" s="25"/>
      <c r="N124" s="25"/>
      <c r="O124" s="25"/>
      <c r="P124" s="25"/>
      <c r="Q124" s="25"/>
      <c r="R124" s="25"/>
    </row>
    <row r="125" spans="2:18" x14ac:dyDescent="0.3">
      <c r="B125" s="24"/>
      <c r="C125" s="24"/>
      <c r="D125" s="62"/>
      <c r="E125" s="25"/>
      <c r="F125" s="25"/>
      <c r="G125" s="25"/>
      <c r="H125" s="25"/>
      <c r="I125" s="25"/>
      <c r="J125" s="25"/>
      <c r="K125" s="25"/>
      <c r="L125" s="25"/>
      <c r="M125" s="25"/>
      <c r="N125" s="25"/>
      <c r="O125" s="25"/>
      <c r="P125" s="25"/>
      <c r="Q125" s="25"/>
      <c r="R125" s="25"/>
    </row>
    <row r="126" spans="2:18" x14ac:dyDescent="0.3">
      <c r="B126" s="24"/>
      <c r="C126" s="24"/>
      <c r="D126" s="62"/>
      <c r="E126" s="25"/>
      <c r="F126" s="25"/>
      <c r="G126" s="25"/>
      <c r="H126" s="25"/>
      <c r="I126" s="25"/>
      <c r="J126" s="25"/>
      <c r="K126" s="25"/>
      <c r="L126" s="25"/>
      <c r="M126" s="25"/>
      <c r="N126" s="25"/>
      <c r="O126" s="25"/>
      <c r="P126" s="25"/>
      <c r="Q126" s="25"/>
      <c r="R126" s="25"/>
    </row>
    <row r="127" spans="2:18" x14ac:dyDescent="0.3">
      <c r="B127" s="24"/>
      <c r="C127" s="24"/>
      <c r="D127" s="62"/>
      <c r="E127" s="25"/>
      <c r="F127" s="25"/>
      <c r="G127" s="25"/>
      <c r="H127" s="25"/>
      <c r="I127" s="25"/>
      <c r="J127" s="25"/>
      <c r="K127" s="25"/>
      <c r="L127" s="25"/>
      <c r="M127" s="25"/>
      <c r="N127" s="25"/>
      <c r="O127" s="25"/>
      <c r="P127" s="25"/>
      <c r="Q127" s="25"/>
      <c r="R127" s="25"/>
    </row>
    <row r="128" spans="2:18" x14ac:dyDescent="0.3">
      <c r="B128" s="24"/>
      <c r="C128" s="24"/>
      <c r="D128" s="62"/>
      <c r="E128" s="25"/>
      <c r="F128" s="25"/>
      <c r="G128" s="25"/>
      <c r="H128" s="25"/>
      <c r="I128" s="25"/>
      <c r="J128" s="25"/>
      <c r="K128" s="25"/>
      <c r="L128" s="25"/>
      <c r="M128" s="25"/>
      <c r="N128" s="25"/>
      <c r="O128" s="25"/>
      <c r="P128" s="25"/>
      <c r="Q128" s="25"/>
      <c r="R128" s="25"/>
    </row>
    <row r="129" spans="2:18" x14ac:dyDescent="0.3">
      <c r="B129" s="24"/>
      <c r="C129" s="24"/>
      <c r="D129" s="62"/>
      <c r="E129" s="25"/>
      <c r="F129" s="25"/>
      <c r="G129" s="25"/>
      <c r="H129" s="25"/>
      <c r="I129" s="25"/>
      <c r="J129" s="25"/>
      <c r="K129" s="25"/>
      <c r="L129" s="25"/>
      <c r="M129" s="25"/>
      <c r="N129" s="25"/>
      <c r="O129" s="25"/>
      <c r="P129" s="25"/>
      <c r="Q129" s="25"/>
      <c r="R129" s="25"/>
    </row>
    <row r="130" spans="2:18" x14ac:dyDescent="0.3">
      <c r="B130" s="24"/>
      <c r="C130" s="24"/>
      <c r="D130" s="62"/>
      <c r="E130" s="25"/>
      <c r="F130" s="25"/>
      <c r="G130" s="25"/>
      <c r="H130" s="25"/>
      <c r="I130" s="25"/>
      <c r="J130" s="25"/>
      <c r="K130" s="25"/>
      <c r="L130" s="25"/>
      <c r="M130" s="25"/>
      <c r="N130" s="25"/>
      <c r="O130" s="25"/>
      <c r="P130" s="25"/>
      <c r="Q130" s="25"/>
      <c r="R130" s="25"/>
    </row>
    <row r="131" spans="2:18" x14ac:dyDescent="0.3">
      <c r="B131" s="24"/>
      <c r="C131" s="24"/>
      <c r="D131" s="62"/>
      <c r="E131" s="25"/>
      <c r="F131" s="25"/>
      <c r="G131" s="25"/>
      <c r="H131" s="25"/>
      <c r="I131" s="25"/>
      <c r="J131" s="25"/>
      <c r="K131" s="25"/>
      <c r="L131" s="25"/>
      <c r="M131" s="25"/>
      <c r="N131" s="25"/>
      <c r="O131" s="25"/>
      <c r="P131" s="25"/>
      <c r="Q131" s="25"/>
      <c r="R131" s="25"/>
    </row>
    <row r="132" spans="2:18" x14ac:dyDescent="0.3">
      <c r="B132" s="24"/>
      <c r="C132" s="24"/>
      <c r="D132" s="62"/>
      <c r="E132" s="25"/>
      <c r="F132" s="25"/>
      <c r="G132" s="25"/>
      <c r="H132" s="25"/>
      <c r="I132" s="25"/>
      <c r="J132" s="25"/>
      <c r="K132" s="25"/>
      <c r="L132" s="25"/>
      <c r="M132" s="25"/>
      <c r="N132" s="25"/>
      <c r="O132" s="25"/>
      <c r="P132" s="25"/>
      <c r="Q132" s="25"/>
      <c r="R132" s="25"/>
    </row>
    <row r="133" spans="2:18" x14ac:dyDescent="0.3">
      <c r="B133" s="24"/>
      <c r="C133" s="24"/>
      <c r="D133" s="62"/>
      <c r="E133" s="25"/>
      <c r="F133" s="25"/>
      <c r="G133" s="25"/>
      <c r="H133" s="25"/>
      <c r="I133" s="25"/>
      <c r="J133" s="25"/>
      <c r="K133" s="25"/>
      <c r="L133" s="25"/>
      <c r="M133" s="25"/>
      <c r="N133" s="25"/>
      <c r="O133" s="25"/>
      <c r="P133" s="25"/>
      <c r="Q133" s="25"/>
      <c r="R133" s="25"/>
    </row>
    <row r="134" spans="2:18" x14ac:dyDescent="0.3">
      <c r="B134" s="24"/>
      <c r="C134" s="24"/>
      <c r="D134" s="62"/>
      <c r="E134" s="25"/>
      <c r="F134" s="25"/>
      <c r="G134" s="25"/>
      <c r="H134" s="25"/>
      <c r="I134" s="25"/>
      <c r="J134" s="25"/>
      <c r="K134" s="25"/>
      <c r="L134" s="25"/>
      <c r="M134" s="25"/>
      <c r="N134" s="25"/>
      <c r="O134" s="25"/>
      <c r="P134" s="25"/>
      <c r="Q134" s="25"/>
      <c r="R134" s="25"/>
    </row>
    <row r="135" spans="2:18" x14ac:dyDescent="0.3">
      <c r="B135" s="24"/>
      <c r="C135" s="24"/>
      <c r="D135" s="62"/>
      <c r="E135" s="25"/>
      <c r="F135" s="25"/>
      <c r="G135" s="25"/>
      <c r="H135" s="25"/>
      <c r="I135" s="25"/>
      <c r="J135" s="25"/>
      <c r="K135" s="25"/>
      <c r="L135" s="25"/>
      <c r="M135" s="25"/>
      <c r="N135" s="25"/>
      <c r="O135" s="25"/>
      <c r="P135" s="25"/>
      <c r="Q135" s="25"/>
      <c r="R135" s="25"/>
    </row>
    <row r="136" spans="2:18" x14ac:dyDescent="0.3">
      <c r="B136" s="24"/>
      <c r="C136" s="24"/>
      <c r="D136" s="62"/>
      <c r="E136" s="25"/>
      <c r="F136" s="25"/>
      <c r="G136" s="25"/>
      <c r="H136" s="25"/>
      <c r="I136" s="25"/>
      <c r="J136" s="25"/>
      <c r="K136" s="25"/>
      <c r="L136" s="25"/>
      <c r="M136" s="25"/>
      <c r="N136" s="25"/>
      <c r="O136" s="25"/>
      <c r="P136" s="25"/>
      <c r="Q136" s="25"/>
      <c r="R136" s="25"/>
    </row>
    <row r="137" spans="2:18" x14ac:dyDescent="0.3">
      <c r="B137" s="24"/>
      <c r="C137" s="24"/>
      <c r="D137" s="62"/>
      <c r="E137" s="25"/>
      <c r="F137" s="25"/>
      <c r="G137" s="25"/>
      <c r="H137" s="25"/>
      <c r="I137" s="25"/>
      <c r="J137" s="25"/>
      <c r="K137" s="25"/>
      <c r="L137" s="25"/>
      <c r="M137" s="25"/>
      <c r="N137" s="25"/>
      <c r="O137" s="25"/>
      <c r="P137" s="25"/>
      <c r="Q137" s="25"/>
      <c r="R137" s="25"/>
    </row>
    <row r="138" spans="2:18" x14ac:dyDescent="0.3">
      <c r="B138" s="24"/>
      <c r="C138" s="24"/>
      <c r="D138" s="62"/>
      <c r="E138" s="25"/>
      <c r="F138" s="25"/>
      <c r="G138" s="25"/>
      <c r="H138" s="25"/>
      <c r="I138" s="25"/>
      <c r="J138" s="25"/>
      <c r="K138" s="25"/>
      <c r="L138" s="25"/>
      <c r="M138" s="25"/>
      <c r="N138" s="25"/>
      <c r="O138" s="25"/>
      <c r="P138" s="25"/>
      <c r="Q138" s="25"/>
      <c r="R138" s="25"/>
    </row>
    <row r="139" spans="2:18" x14ac:dyDescent="0.3">
      <c r="B139" s="24"/>
      <c r="C139" s="24"/>
      <c r="D139" s="62"/>
      <c r="E139" s="25"/>
      <c r="F139" s="25"/>
      <c r="G139" s="25"/>
      <c r="H139" s="25"/>
      <c r="I139" s="25"/>
      <c r="J139" s="25"/>
      <c r="K139" s="25"/>
      <c r="L139" s="25"/>
      <c r="M139" s="25"/>
      <c r="N139" s="25"/>
      <c r="O139" s="25"/>
      <c r="P139" s="25"/>
      <c r="Q139" s="25"/>
      <c r="R139" s="25"/>
    </row>
    <row r="140" spans="2:18" x14ac:dyDescent="0.3">
      <c r="B140" s="24"/>
      <c r="C140" s="24"/>
      <c r="D140" s="62"/>
      <c r="E140" s="25"/>
      <c r="F140" s="25"/>
      <c r="G140" s="25"/>
      <c r="H140" s="25"/>
      <c r="I140" s="25"/>
      <c r="J140" s="25"/>
      <c r="K140" s="25"/>
      <c r="L140" s="25"/>
      <c r="M140" s="25"/>
      <c r="N140" s="25"/>
      <c r="O140" s="25"/>
      <c r="P140" s="25"/>
      <c r="Q140" s="25"/>
      <c r="R140" s="25"/>
    </row>
    <row r="141" spans="2:18" x14ac:dyDescent="0.3">
      <c r="B141" s="24"/>
      <c r="C141" s="24"/>
      <c r="D141" s="62"/>
      <c r="E141" s="25"/>
      <c r="F141" s="25"/>
      <c r="G141" s="25"/>
      <c r="H141" s="25"/>
      <c r="I141" s="25"/>
      <c r="J141" s="25"/>
      <c r="K141" s="25"/>
      <c r="L141" s="25"/>
      <c r="M141" s="25"/>
      <c r="N141" s="25"/>
      <c r="O141" s="25"/>
      <c r="P141" s="25"/>
      <c r="Q141" s="25"/>
      <c r="R141" s="25"/>
    </row>
    <row r="142" spans="2:18" x14ac:dyDescent="0.3">
      <c r="B142" s="24"/>
      <c r="C142" s="24"/>
      <c r="D142" s="62"/>
      <c r="E142" s="25"/>
      <c r="F142" s="25"/>
      <c r="G142" s="25"/>
      <c r="H142" s="25"/>
      <c r="I142" s="25"/>
      <c r="J142" s="25"/>
      <c r="K142" s="25"/>
      <c r="L142" s="25"/>
      <c r="M142" s="25"/>
      <c r="N142" s="25"/>
      <c r="O142" s="25"/>
      <c r="P142" s="25"/>
      <c r="Q142" s="25"/>
      <c r="R142" s="25"/>
    </row>
    <row r="143" spans="2:18" x14ac:dyDescent="0.3">
      <c r="B143" s="24"/>
      <c r="C143" s="24"/>
      <c r="D143" s="62"/>
      <c r="E143" s="25"/>
      <c r="F143" s="25"/>
      <c r="G143" s="25"/>
      <c r="H143" s="25"/>
      <c r="I143" s="25"/>
      <c r="J143" s="25"/>
      <c r="K143" s="25"/>
      <c r="L143" s="25"/>
      <c r="M143" s="25"/>
      <c r="N143" s="25"/>
      <c r="O143" s="25"/>
      <c r="P143" s="25"/>
      <c r="Q143" s="25"/>
      <c r="R143" s="25"/>
    </row>
    <row r="144" spans="2:18" x14ac:dyDescent="0.3">
      <c r="B144" s="24"/>
      <c r="C144" s="24"/>
      <c r="D144" s="62"/>
      <c r="E144" s="25"/>
      <c r="F144" s="25"/>
      <c r="G144" s="25"/>
      <c r="H144" s="25"/>
      <c r="I144" s="25"/>
      <c r="J144" s="25"/>
      <c r="K144" s="25"/>
      <c r="L144" s="25"/>
      <c r="M144" s="25"/>
      <c r="N144" s="25"/>
      <c r="O144" s="25"/>
      <c r="P144" s="25"/>
      <c r="Q144" s="25"/>
      <c r="R144" s="25"/>
    </row>
    <row r="145" spans="2:18" x14ac:dyDescent="0.3">
      <c r="B145" s="24"/>
      <c r="C145" s="24"/>
      <c r="D145" s="62"/>
      <c r="E145" s="25"/>
      <c r="F145" s="25"/>
      <c r="G145" s="25"/>
      <c r="H145" s="25"/>
      <c r="I145" s="25"/>
      <c r="J145" s="25"/>
      <c r="K145" s="25"/>
      <c r="L145" s="25"/>
      <c r="M145" s="25"/>
      <c r="N145" s="25"/>
      <c r="O145" s="25"/>
      <c r="P145" s="25"/>
      <c r="Q145" s="25"/>
      <c r="R145" s="25"/>
    </row>
    <row r="146" spans="2:18" x14ac:dyDescent="0.3">
      <c r="B146" s="24"/>
      <c r="C146" s="24"/>
      <c r="D146" s="62"/>
      <c r="E146" s="25"/>
      <c r="F146" s="25"/>
      <c r="G146" s="25"/>
      <c r="H146" s="25"/>
      <c r="I146" s="25"/>
      <c r="J146" s="25"/>
      <c r="K146" s="25"/>
      <c r="L146" s="25"/>
      <c r="M146" s="25"/>
      <c r="N146" s="25"/>
      <c r="O146" s="25"/>
      <c r="P146" s="25"/>
      <c r="Q146" s="25"/>
      <c r="R146" s="25"/>
    </row>
    <row r="147" spans="2:18" x14ac:dyDescent="0.3">
      <c r="B147" s="24"/>
      <c r="C147" s="24"/>
      <c r="D147" s="62"/>
      <c r="E147" s="25"/>
      <c r="F147" s="25"/>
      <c r="G147" s="25"/>
      <c r="H147" s="25"/>
      <c r="I147" s="25"/>
      <c r="J147" s="25"/>
      <c r="K147" s="25"/>
      <c r="L147" s="25"/>
      <c r="M147" s="25"/>
      <c r="N147" s="25"/>
      <c r="O147" s="25"/>
      <c r="P147" s="25"/>
      <c r="Q147" s="25"/>
      <c r="R147" s="25"/>
    </row>
    <row r="148" spans="2:18" x14ac:dyDescent="0.3">
      <c r="B148" s="24"/>
      <c r="C148" s="24"/>
      <c r="D148" s="62"/>
      <c r="E148" s="25"/>
      <c r="F148" s="25"/>
      <c r="G148" s="25"/>
      <c r="H148" s="25"/>
      <c r="I148" s="25"/>
      <c r="J148" s="25"/>
      <c r="K148" s="25"/>
      <c r="L148" s="25"/>
      <c r="M148" s="25"/>
      <c r="N148" s="25"/>
      <c r="O148" s="25"/>
      <c r="P148" s="25"/>
      <c r="Q148" s="25"/>
      <c r="R148" s="25"/>
    </row>
    <row r="149" spans="2:18" x14ac:dyDescent="0.3">
      <c r="B149" s="24"/>
      <c r="C149" s="24"/>
      <c r="D149" s="62"/>
      <c r="E149" s="25"/>
      <c r="F149" s="25"/>
      <c r="G149" s="25"/>
      <c r="H149" s="25"/>
      <c r="I149" s="25"/>
      <c r="J149" s="25"/>
      <c r="K149" s="25"/>
      <c r="L149" s="25"/>
      <c r="M149" s="25"/>
      <c r="N149" s="25"/>
      <c r="O149" s="25"/>
      <c r="P149" s="25"/>
      <c r="Q149" s="25"/>
      <c r="R149" s="25"/>
    </row>
    <row r="150" spans="2:18" x14ac:dyDescent="0.3">
      <c r="B150" s="24"/>
      <c r="C150" s="24"/>
      <c r="D150" s="62"/>
      <c r="E150" s="25"/>
      <c r="F150" s="25"/>
      <c r="G150" s="25"/>
      <c r="H150" s="25"/>
      <c r="I150" s="25"/>
      <c r="J150" s="25"/>
      <c r="K150" s="25"/>
      <c r="L150" s="25"/>
      <c r="M150" s="25"/>
      <c r="N150" s="25"/>
      <c r="O150" s="25"/>
      <c r="P150" s="25"/>
      <c r="Q150" s="25"/>
      <c r="R150" s="25"/>
    </row>
    <row r="151" spans="2:18" x14ac:dyDescent="0.3">
      <c r="B151" s="24"/>
      <c r="C151" s="24"/>
      <c r="D151" s="62"/>
      <c r="E151" s="25"/>
      <c r="F151" s="25"/>
      <c r="G151" s="25"/>
      <c r="H151" s="25"/>
      <c r="I151" s="25"/>
      <c r="J151" s="25"/>
      <c r="K151" s="25"/>
      <c r="L151" s="25"/>
      <c r="M151" s="25"/>
      <c r="N151" s="25"/>
      <c r="O151" s="25"/>
      <c r="P151" s="25"/>
      <c r="Q151" s="25"/>
      <c r="R151" s="25"/>
    </row>
    <row r="152" spans="2:18" x14ac:dyDescent="0.3">
      <c r="B152" s="24"/>
      <c r="C152" s="24"/>
      <c r="D152" s="62"/>
      <c r="E152" s="25"/>
      <c r="F152" s="25"/>
      <c r="G152" s="25"/>
      <c r="H152" s="25"/>
      <c r="I152" s="25"/>
      <c r="J152" s="25"/>
      <c r="K152" s="25"/>
      <c r="L152" s="25"/>
      <c r="M152" s="25"/>
      <c r="N152" s="25"/>
      <c r="O152" s="25"/>
      <c r="P152" s="25"/>
      <c r="Q152" s="25"/>
      <c r="R152" s="25"/>
    </row>
    <row r="153" spans="2:18" x14ac:dyDescent="0.3">
      <c r="B153" s="24"/>
      <c r="C153" s="24"/>
      <c r="D153" s="62"/>
      <c r="E153" s="25"/>
      <c r="F153" s="25"/>
      <c r="G153" s="25"/>
      <c r="H153" s="25"/>
      <c r="I153" s="25"/>
      <c r="J153" s="25"/>
      <c r="K153" s="25"/>
      <c r="L153" s="25"/>
      <c r="M153" s="25"/>
      <c r="N153" s="25"/>
      <c r="O153" s="25"/>
      <c r="P153" s="25"/>
      <c r="Q153" s="25"/>
      <c r="R153" s="25"/>
    </row>
    <row r="154" spans="2:18" x14ac:dyDescent="0.3">
      <c r="B154" s="24"/>
      <c r="C154" s="24"/>
      <c r="D154" s="62"/>
      <c r="E154" s="25"/>
      <c r="F154" s="25"/>
      <c r="G154" s="25"/>
      <c r="H154" s="25"/>
      <c r="I154" s="25"/>
      <c r="J154" s="25"/>
      <c r="K154" s="25"/>
      <c r="L154" s="25"/>
      <c r="M154" s="25"/>
      <c r="N154" s="25"/>
      <c r="O154" s="25"/>
      <c r="P154" s="25"/>
      <c r="Q154" s="25"/>
      <c r="R154" s="25"/>
    </row>
    <row r="155" spans="2:18" x14ac:dyDescent="0.3">
      <c r="B155" s="24"/>
      <c r="C155" s="24"/>
      <c r="D155" s="62"/>
      <c r="E155" s="25"/>
      <c r="F155" s="25"/>
      <c r="G155" s="25"/>
      <c r="H155" s="25"/>
      <c r="I155" s="25"/>
      <c r="J155" s="25"/>
      <c r="K155" s="25"/>
      <c r="L155" s="25"/>
      <c r="M155" s="25"/>
      <c r="N155" s="25"/>
      <c r="O155" s="25"/>
      <c r="P155" s="25"/>
      <c r="Q155" s="25"/>
      <c r="R155" s="25"/>
    </row>
    <row r="156" spans="2:18" x14ac:dyDescent="0.3">
      <c r="B156" s="24"/>
      <c r="C156" s="24"/>
      <c r="D156" s="62"/>
      <c r="E156" s="25"/>
      <c r="F156" s="25"/>
      <c r="G156" s="25"/>
      <c r="H156" s="25"/>
      <c r="I156" s="25"/>
      <c r="J156" s="25"/>
      <c r="K156" s="25"/>
      <c r="L156" s="25"/>
      <c r="M156" s="25"/>
      <c r="N156" s="25"/>
      <c r="O156" s="25"/>
      <c r="P156" s="25"/>
      <c r="Q156" s="25"/>
      <c r="R156" s="25"/>
    </row>
    <row r="157" spans="2:18" x14ac:dyDescent="0.3">
      <c r="B157" s="24"/>
      <c r="C157" s="24"/>
      <c r="D157" s="62"/>
      <c r="E157" s="25"/>
      <c r="F157" s="25"/>
      <c r="G157" s="25"/>
      <c r="H157" s="25"/>
      <c r="I157" s="25"/>
      <c r="J157" s="25"/>
      <c r="K157" s="25"/>
      <c r="L157" s="25"/>
      <c r="M157" s="25"/>
      <c r="N157" s="25"/>
      <c r="O157" s="25"/>
      <c r="P157" s="25"/>
      <c r="Q157" s="25"/>
      <c r="R157" s="25"/>
    </row>
    <row r="158" spans="2:18" x14ac:dyDescent="0.3">
      <c r="B158" s="24"/>
      <c r="C158" s="24"/>
      <c r="D158" s="62"/>
      <c r="E158" s="25"/>
      <c r="F158" s="25"/>
      <c r="G158" s="25"/>
      <c r="H158" s="25"/>
      <c r="I158" s="25"/>
      <c r="J158" s="25"/>
      <c r="K158" s="25"/>
      <c r="L158" s="25"/>
      <c r="M158" s="25"/>
      <c r="N158" s="25"/>
      <c r="O158" s="25"/>
      <c r="P158" s="25"/>
      <c r="Q158" s="25"/>
      <c r="R158" s="25"/>
    </row>
    <row r="159" spans="2:18" x14ac:dyDescent="0.3">
      <c r="B159" s="24"/>
      <c r="C159" s="24"/>
      <c r="D159" s="62"/>
      <c r="E159" s="25"/>
      <c r="F159" s="25"/>
      <c r="G159" s="25"/>
      <c r="H159" s="25"/>
      <c r="I159" s="25"/>
      <c r="J159" s="25"/>
      <c r="K159" s="25"/>
      <c r="L159" s="25"/>
      <c r="M159" s="25"/>
      <c r="N159" s="25"/>
      <c r="O159" s="25"/>
      <c r="P159" s="25"/>
      <c r="Q159" s="25"/>
      <c r="R159" s="25"/>
    </row>
    <row r="160" spans="2:18" x14ac:dyDescent="0.3">
      <c r="B160" s="24"/>
      <c r="C160" s="24"/>
      <c r="D160" s="62"/>
      <c r="E160" s="25"/>
      <c r="F160" s="25"/>
      <c r="G160" s="25"/>
      <c r="H160" s="25"/>
      <c r="I160" s="25"/>
      <c r="J160" s="25"/>
      <c r="K160" s="25"/>
      <c r="L160" s="25"/>
      <c r="M160" s="25"/>
      <c r="N160" s="25"/>
      <c r="O160" s="25"/>
      <c r="P160" s="25"/>
      <c r="Q160" s="25"/>
      <c r="R160" s="25"/>
    </row>
    <row r="161" spans="2:18" x14ac:dyDescent="0.3">
      <c r="B161" s="24"/>
      <c r="C161" s="24"/>
      <c r="D161" s="62"/>
      <c r="E161" s="25"/>
      <c r="F161" s="25"/>
      <c r="G161" s="25"/>
      <c r="H161" s="25"/>
      <c r="I161" s="25"/>
      <c r="J161" s="25"/>
      <c r="K161" s="25"/>
      <c r="L161" s="25"/>
      <c r="M161" s="25"/>
      <c r="N161" s="25"/>
      <c r="O161" s="25"/>
      <c r="P161" s="25"/>
      <c r="Q161" s="25"/>
      <c r="R161" s="25"/>
    </row>
    <row r="162" spans="2:18" x14ac:dyDescent="0.3">
      <c r="B162" s="24"/>
      <c r="C162" s="24"/>
      <c r="D162" s="62"/>
      <c r="E162" s="25"/>
      <c r="F162" s="25"/>
      <c r="G162" s="25"/>
      <c r="H162" s="25"/>
      <c r="I162" s="25"/>
      <c r="J162" s="25"/>
      <c r="K162" s="25"/>
      <c r="L162" s="25"/>
      <c r="M162" s="25"/>
      <c r="N162" s="25"/>
      <c r="O162" s="25"/>
      <c r="P162" s="25"/>
      <c r="Q162" s="25"/>
      <c r="R162" s="25"/>
    </row>
    <row r="163" spans="2:18" x14ac:dyDescent="0.3">
      <c r="B163" s="24"/>
      <c r="C163" s="24"/>
      <c r="D163" s="62"/>
      <c r="E163" s="25"/>
      <c r="F163" s="25"/>
      <c r="G163" s="25"/>
      <c r="H163" s="25"/>
      <c r="I163" s="25"/>
      <c r="J163" s="25"/>
      <c r="K163" s="25"/>
      <c r="L163" s="25"/>
      <c r="M163" s="25"/>
      <c r="N163" s="25"/>
      <c r="O163" s="25"/>
      <c r="P163" s="25"/>
      <c r="Q163" s="25"/>
      <c r="R163" s="25"/>
    </row>
    <row r="164" spans="2:18" x14ac:dyDescent="0.3">
      <c r="B164" s="24"/>
      <c r="C164" s="24"/>
      <c r="D164" s="62"/>
      <c r="E164" s="25"/>
      <c r="F164" s="25"/>
      <c r="G164" s="25"/>
      <c r="H164" s="25"/>
      <c r="I164" s="25"/>
      <c r="J164" s="25"/>
      <c r="K164" s="25"/>
      <c r="L164" s="25"/>
      <c r="M164" s="25"/>
      <c r="N164" s="25"/>
      <c r="O164" s="25"/>
      <c r="P164" s="25"/>
      <c r="Q164" s="25"/>
      <c r="R164" s="25"/>
    </row>
    <row r="165" spans="2:18" x14ac:dyDescent="0.3">
      <c r="B165" s="24"/>
      <c r="C165" s="24"/>
      <c r="D165" s="62"/>
      <c r="E165" s="25"/>
      <c r="F165" s="25"/>
      <c r="G165" s="25"/>
      <c r="H165" s="25"/>
      <c r="I165" s="25"/>
      <c r="J165" s="25"/>
      <c r="K165" s="25"/>
      <c r="L165" s="25"/>
      <c r="M165" s="25"/>
      <c r="N165" s="25"/>
      <c r="O165" s="25"/>
      <c r="P165" s="25"/>
      <c r="Q165" s="25"/>
      <c r="R165" s="25"/>
    </row>
    <row r="166" spans="2:18" x14ac:dyDescent="0.3">
      <c r="B166" s="24"/>
      <c r="C166" s="24"/>
      <c r="D166" s="62"/>
      <c r="E166" s="25"/>
      <c r="F166" s="25"/>
      <c r="G166" s="25"/>
      <c r="H166" s="25"/>
      <c r="I166" s="25"/>
      <c r="J166" s="25"/>
      <c r="K166" s="25"/>
      <c r="L166" s="25"/>
      <c r="M166" s="25"/>
      <c r="N166" s="25"/>
      <c r="O166" s="25"/>
      <c r="P166" s="25"/>
      <c r="Q166" s="25"/>
      <c r="R166" s="25"/>
    </row>
    <row r="167" spans="2:18" x14ac:dyDescent="0.3">
      <c r="B167" s="24"/>
      <c r="C167" s="24"/>
      <c r="D167" s="62"/>
      <c r="E167" s="25"/>
      <c r="F167" s="25"/>
      <c r="G167" s="25"/>
      <c r="H167" s="25"/>
      <c r="I167" s="25"/>
      <c r="J167" s="25"/>
      <c r="K167" s="25"/>
      <c r="L167" s="25"/>
      <c r="M167" s="25"/>
      <c r="N167" s="25"/>
      <c r="O167" s="25"/>
      <c r="P167" s="25"/>
      <c r="Q167" s="25"/>
      <c r="R167" s="25"/>
    </row>
    <row r="168" spans="2:18" x14ac:dyDescent="0.3">
      <c r="B168" s="24"/>
      <c r="C168" s="24"/>
      <c r="D168" s="62"/>
      <c r="E168" s="25"/>
      <c r="F168" s="25"/>
      <c r="G168" s="25"/>
      <c r="H168" s="25"/>
      <c r="I168" s="25"/>
      <c r="J168" s="25"/>
      <c r="K168" s="25"/>
      <c r="L168" s="25"/>
      <c r="M168" s="25"/>
      <c r="N168" s="25"/>
      <c r="O168" s="25"/>
      <c r="P168" s="25"/>
      <c r="Q168" s="25"/>
      <c r="R168" s="25"/>
    </row>
    <row r="169" spans="2:18" x14ac:dyDescent="0.3">
      <c r="B169" s="24"/>
      <c r="C169" s="24"/>
      <c r="D169" s="62"/>
      <c r="E169" s="25"/>
      <c r="F169" s="25"/>
      <c r="G169" s="25"/>
      <c r="H169" s="25"/>
      <c r="I169" s="25"/>
      <c r="J169" s="25"/>
      <c r="K169" s="25"/>
      <c r="L169" s="25"/>
      <c r="M169" s="25"/>
      <c r="N169" s="25"/>
      <c r="O169" s="25"/>
      <c r="P169" s="25"/>
      <c r="Q169" s="25"/>
      <c r="R169" s="25"/>
    </row>
    <row r="170" spans="2:18" x14ac:dyDescent="0.3">
      <c r="B170" s="24"/>
      <c r="C170" s="24"/>
      <c r="D170" s="62"/>
      <c r="E170" s="25"/>
      <c r="F170" s="25"/>
      <c r="G170" s="25"/>
      <c r="H170" s="25"/>
      <c r="I170" s="25"/>
      <c r="J170" s="25"/>
      <c r="K170" s="25"/>
      <c r="L170" s="25"/>
      <c r="M170" s="25"/>
      <c r="N170" s="25"/>
      <c r="O170" s="25"/>
      <c r="P170" s="25"/>
      <c r="Q170" s="25"/>
      <c r="R170" s="25"/>
    </row>
    <row r="171" spans="2:18" x14ac:dyDescent="0.3">
      <c r="B171" s="24"/>
      <c r="C171" s="24"/>
      <c r="D171" s="62"/>
      <c r="E171" s="25"/>
      <c r="F171" s="25"/>
      <c r="G171" s="25"/>
      <c r="H171" s="25"/>
      <c r="I171" s="25"/>
      <c r="J171" s="25"/>
      <c r="K171" s="25"/>
      <c r="L171" s="25"/>
      <c r="M171" s="25"/>
      <c r="N171" s="25"/>
      <c r="O171" s="25"/>
      <c r="P171" s="25"/>
      <c r="Q171" s="25"/>
      <c r="R171" s="25"/>
    </row>
    <row r="172" spans="2:18" x14ac:dyDescent="0.3">
      <c r="B172" s="24"/>
      <c r="C172" s="24"/>
      <c r="D172" s="62"/>
      <c r="E172" s="25"/>
      <c r="F172" s="25"/>
      <c r="G172" s="25"/>
      <c r="H172" s="25"/>
      <c r="I172" s="25"/>
      <c r="J172" s="25"/>
      <c r="K172" s="25"/>
      <c r="L172" s="25"/>
      <c r="M172" s="25"/>
      <c r="N172" s="25"/>
      <c r="O172" s="25"/>
      <c r="P172" s="25"/>
      <c r="Q172" s="25"/>
      <c r="R172" s="25"/>
    </row>
    <row r="173" spans="2:18" x14ac:dyDescent="0.3">
      <c r="B173" s="24"/>
      <c r="C173" s="24"/>
      <c r="D173" s="62"/>
      <c r="E173" s="25"/>
      <c r="F173" s="25"/>
      <c r="G173" s="25"/>
      <c r="H173" s="25"/>
      <c r="I173" s="25"/>
      <c r="J173" s="25"/>
      <c r="K173" s="25"/>
      <c r="L173" s="25"/>
      <c r="M173" s="25"/>
      <c r="N173" s="25"/>
      <c r="O173" s="25"/>
      <c r="P173" s="25"/>
      <c r="Q173" s="25"/>
      <c r="R173" s="25"/>
    </row>
    <row r="174" spans="2:18" x14ac:dyDescent="0.3">
      <c r="B174" s="24"/>
      <c r="C174" s="24"/>
      <c r="D174" s="62"/>
      <c r="E174" s="25"/>
      <c r="F174" s="25"/>
      <c r="G174" s="25"/>
      <c r="H174" s="25"/>
      <c r="I174" s="25"/>
      <c r="J174" s="25"/>
      <c r="K174" s="25"/>
      <c r="L174" s="25"/>
      <c r="M174" s="25"/>
      <c r="N174" s="25"/>
      <c r="O174" s="25"/>
      <c r="P174" s="25"/>
      <c r="Q174" s="25"/>
      <c r="R174" s="25"/>
    </row>
    <row r="175" spans="2:18" x14ac:dyDescent="0.3">
      <c r="B175" s="24"/>
      <c r="C175" s="24"/>
      <c r="D175" s="62"/>
      <c r="E175" s="25"/>
      <c r="F175" s="25"/>
      <c r="G175" s="25"/>
      <c r="H175" s="25"/>
      <c r="I175" s="25"/>
      <c r="J175" s="25"/>
      <c r="K175" s="25"/>
      <c r="L175" s="25"/>
      <c r="M175" s="25"/>
      <c r="N175" s="25"/>
      <c r="O175" s="25"/>
      <c r="P175" s="25"/>
      <c r="Q175" s="25"/>
      <c r="R175" s="25"/>
    </row>
    <row r="176" spans="2:18" x14ac:dyDescent="0.3">
      <c r="B176" s="24"/>
      <c r="C176" s="24"/>
      <c r="D176" s="62"/>
      <c r="E176" s="25"/>
      <c r="F176" s="25"/>
      <c r="G176" s="25"/>
      <c r="H176" s="25"/>
      <c r="I176" s="25"/>
      <c r="J176" s="25"/>
      <c r="K176" s="25"/>
      <c r="L176" s="25"/>
      <c r="M176" s="25"/>
      <c r="N176" s="25"/>
      <c r="O176" s="25"/>
      <c r="P176" s="25"/>
      <c r="Q176" s="25"/>
      <c r="R176" s="25"/>
    </row>
    <row r="177" spans="2:18" x14ac:dyDescent="0.3">
      <c r="B177" s="24"/>
      <c r="C177" s="24"/>
      <c r="D177" s="62"/>
      <c r="E177" s="25"/>
      <c r="F177" s="25"/>
      <c r="G177" s="25"/>
      <c r="H177" s="25"/>
      <c r="I177" s="25"/>
      <c r="J177" s="25"/>
      <c r="K177" s="25"/>
      <c r="L177" s="25"/>
      <c r="M177" s="25"/>
      <c r="N177" s="25"/>
      <c r="O177" s="25"/>
      <c r="P177" s="25"/>
      <c r="Q177" s="25"/>
      <c r="R177" s="25"/>
    </row>
    <row r="178" spans="2:18" x14ac:dyDescent="0.3">
      <c r="B178" s="24"/>
      <c r="C178" s="24"/>
      <c r="D178" s="62"/>
      <c r="E178" s="25"/>
      <c r="F178" s="25"/>
      <c r="G178" s="25"/>
      <c r="H178" s="25"/>
      <c r="I178" s="25"/>
      <c r="J178" s="25"/>
      <c r="K178" s="25"/>
      <c r="L178" s="25"/>
      <c r="M178" s="25"/>
      <c r="N178" s="25"/>
      <c r="O178" s="25"/>
      <c r="P178" s="25"/>
      <c r="Q178" s="25"/>
      <c r="R178" s="25"/>
    </row>
    <row r="179" spans="2:18" x14ac:dyDescent="0.3">
      <c r="B179" s="24"/>
      <c r="C179" s="24"/>
      <c r="D179" s="62"/>
      <c r="E179" s="25"/>
      <c r="F179" s="25"/>
      <c r="G179" s="25"/>
      <c r="H179" s="25"/>
      <c r="I179" s="25"/>
      <c r="J179" s="25"/>
      <c r="K179" s="25"/>
      <c r="L179" s="25"/>
      <c r="M179" s="25"/>
      <c r="N179" s="25"/>
      <c r="O179" s="25"/>
      <c r="P179" s="25"/>
      <c r="Q179" s="25"/>
      <c r="R179" s="25"/>
    </row>
    <row r="180" spans="2:18" x14ac:dyDescent="0.3">
      <c r="B180" s="24"/>
      <c r="C180" s="24"/>
      <c r="D180" s="62"/>
      <c r="E180" s="25"/>
      <c r="F180" s="25"/>
      <c r="G180" s="25"/>
      <c r="H180" s="25"/>
      <c r="I180" s="25"/>
      <c r="J180" s="25"/>
      <c r="K180" s="25"/>
      <c r="L180" s="25"/>
      <c r="M180" s="25"/>
      <c r="N180" s="25"/>
      <c r="O180" s="25"/>
      <c r="P180" s="25"/>
      <c r="Q180" s="25"/>
      <c r="R180" s="25"/>
    </row>
    <row r="181" spans="2:18" x14ac:dyDescent="0.3">
      <c r="B181" s="24"/>
      <c r="C181" s="24"/>
      <c r="D181" s="62"/>
      <c r="E181" s="25"/>
      <c r="F181" s="25"/>
      <c r="G181" s="25"/>
      <c r="H181" s="25"/>
      <c r="I181" s="25"/>
      <c r="J181" s="25"/>
      <c r="K181" s="25"/>
      <c r="L181" s="25"/>
      <c r="M181" s="25"/>
      <c r="N181" s="25"/>
      <c r="O181" s="25"/>
      <c r="P181" s="25"/>
      <c r="Q181" s="25"/>
      <c r="R181" s="25"/>
    </row>
    <row r="182" spans="2:18" x14ac:dyDescent="0.3">
      <c r="B182" s="24"/>
      <c r="C182" s="24"/>
      <c r="D182" s="62"/>
      <c r="E182" s="25"/>
      <c r="F182" s="25"/>
      <c r="G182" s="25"/>
      <c r="H182" s="25"/>
      <c r="I182" s="25"/>
      <c r="J182" s="25"/>
      <c r="K182" s="25"/>
      <c r="L182" s="25"/>
      <c r="M182" s="25"/>
      <c r="N182" s="25"/>
      <c r="O182" s="25"/>
      <c r="P182" s="25"/>
      <c r="Q182" s="25"/>
      <c r="R182" s="25"/>
    </row>
    <row r="183" spans="2:18" x14ac:dyDescent="0.3">
      <c r="B183" s="24"/>
      <c r="C183" s="24"/>
      <c r="D183" s="62"/>
      <c r="E183" s="25"/>
      <c r="F183" s="25"/>
      <c r="G183" s="25"/>
      <c r="H183" s="25"/>
      <c r="I183" s="25"/>
      <c r="J183" s="25"/>
      <c r="K183" s="25"/>
      <c r="L183" s="25"/>
      <c r="M183" s="25"/>
      <c r="N183" s="25"/>
      <c r="O183" s="25"/>
      <c r="P183" s="25"/>
      <c r="Q183" s="25"/>
      <c r="R183" s="25"/>
    </row>
    <row r="184" spans="2:18" x14ac:dyDescent="0.3">
      <c r="B184" s="24"/>
      <c r="C184" s="24"/>
      <c r="D184" s="62"/>
      <c r="E184" s="25"/>
      <c r="F184" s="25"/>
      <c r="G184" s="25"/>
      <c r="H184" s="25"/>
      <c r="I184" s="25"/>
      <c r="J184" s="25"/>
      <c r="K184" s="25"/>
      <c r="L184" s="25"/>
      <c r="M184" s="25"/>
      <c r="N184" s="25"/>
      <c r="O184" s="25"/>
      <c r="P184" s="25"/>
      <c r="Q184" s="25"/>
      <c r="R184" s="25"/>
    </row>
    <row r="185" spans="2:18" x14ac:dyDescent="0.3">
      <c r="B185" s="24"/>
      <c r="C185" s="24"/>
      <c r="D185" s="62"/>
      <c r="E185" s="25"/>
      <c r="F185" s="25"/>
      <c r="G185" s="25"/>
      <c r="H185" s="25"/>
      <c r="I185" s="25"/>
      <c r="J185" s="25"/>
      <c r="K185" s="25"/>
      <c r="L185" s="25"/>
      <c r="M185" s="25"/>
      <c r="N185" s="25"/>
      <c r="O185" s="25"/>
      <c r="P185" s="25"/>
      <c r="Q185" s="25"/>
      <c r="R185" s="25"/>
    </row>
    <row r="186" spans="2:18" x14ac:dyDescent="0.3">
      <c r="B186" s="24"/>
      <c r="C186" s="24"/>
      <c r="D186" s="62"/>
      <c r="E186" s="25"/>
      <c r="F186" s="25"/>
      <c r="G186" s="25"/>
      <c r="H186" s="25"/>
      <c r="I186" s="25"/>
      <c r="J186" s="25"/>
      <c r="K186" s="25"/>
      <c r="L186" s="25"/>
      <c r="M186" s="25"/>
      <c r="N186" s="25"/>
      <c r="O186" s="25"/>
      <c r="P186" s="25"/>
      <c r="Q186" s="25"/>
      <c r="R186" s="25"/>
    </row>
    <row r="187" spans="2:18" x14ac:dyDescent="0.3">
      <c r="B187" s="24"/>
      <c r="C187" s="24"/>
      <c r="D187" s="62"/>
      <c r="E187" s="25"/>
      <c r="F187" s="25"/>
      <c r="G187" s="25"/>
      <c r="H187" s="25"/>
      <c r="I187" s="25"/>
      <c r="J187" s="25"/>
      <c r="K187" s="25"/>
      <c r="L187" s="25"/>
      <c r="M187" s="25"/>
      <c r="N187" s="25"/>
      <c r="O187" s="25"/>
      <c r="P187" s="25"/>
      <c r="Q187" s="25"/>
      <c r="R187" s="25"/>
    </row>
    <row r="188" spans="2:18" x14ac:dyDescent="0.3">
      <c r="B188" s="24"/>
      <c r="C188" s="24"/>
      <c r="D188" s="62"/>
      <c r="E188" s="25"/>
      <c r="F188" s="25"/>
      <c r="G188" s="25"/>
      <c r="H188" s="25"/>
      <c r="I188" s="25"/>
      <c r="J188" s="25"/>
      <c r="K188" s="25"/>
      <c r="L188" s="25"/>
      <c r="M188" s="25"/>
      <c r="N188" s="25"/>
      <c r="O188" s="25"/>
      <c r="P188" s="25"/>
      <c r="Q188" s="25"/>
      <c r="R188" s="25"/>
    </row>
    <row r="189" spans="2:18" x14ac:dyDescent="0.3">
      <c r="B189" s="24"/>
      <c r="C189" s="24"/>
      <c r="D189" s="62"/>
      <c r="E189" s="25"/>
      <c r="F189" s="25"/>
      <c r="G189" s="25"/>
      <c r="H189" s="25"/>
      <c r="I189" s="25"/>
      <c r="J189" s="25"/>
      <c r="K189" s="25"/>
      <c r="L189" s="25"/>
      <c r="M189" s="25"/>
      <c r="N189" s="25"/>
      <c r="O189" s="25"/>
      <c r="P189" s="25"/>
      <c r="Q189" s="25"/>
      <c r="R189" s="25"/>
    </row>
    <row r="190" spans="2:18" x14ac:dyDescent="0.3">
      <c r="B190" s="24"/>
      <c r="C190" s="24"/>
      <c r="D190" s="62"/>
      <c r="E190" s="25"/>
      <c r="F190" s="25"/>
      <c r="G190" s="25"/>
      <c r="H190" s="25"/>
      <c r="I190" s="25"/>
      <c r="J190" s="25"/>
      <c r="K190" s="25"/>
      <c r="L190" s="25"/>
      <c r="M190" s="25"/>
      <c r="N190" s="25"/>
      <c r="O190" s="25"/>
      <c r="P190" s="25"/>
      <c r="Q190" s="25"/>
      <c r="R190" s="25"/>
    </row>
    <row r="191" spans="2:18" x14ac:dyDescent="0.3">
      <c r="B191" s="24"/>
      <c r="C191" s="24"/>
      <c r="D191" s="62"/>
      <c r="E191" s="25"/>
      <c r="F191" s="25"/>
      <c r="G191" s="25"/>
      <c r="H191" s="25"/>
      <c r="I191" s="25"/>
      <c r="J191" s="25"/>
      <c r="K191" s="25"/>
      <c r="L191" s="25"/>
      <c r="M191" s="25"/>
      <c r="N191" s="25"/>
      <c r="O191" s="25"/>
      <c r="P191" s="25"/>
      <c r="Q191" s="25"/>
      <c r="R191" s="25"/>
    </row>
    <row r="192" spans="2:18" x14ac:dyDescent="0.3">
      <c r="B192" s="24"/>
      <c r="C192" s="24"/>
      <c r="D192" s="62"/>
      <c r="E192" s="25"/>
      <c r="F192" s="25"/>
      <c r="G192" s="25"/>
      <c r="H192" s="25"/>
      <c r="I192" s="25"/>
      <c r="J192" s="25"/>
      <c r="K192" s="25"/>
      <c r="L192" s="25"/>
      <c r="M192" s="25"/>
      <c r="N192" s="25"/>
      <c r="O192" s="25"/>
      <c r="P192" s="25"/>
      <c r="Q192" s="25"/>
      <c r="R192" s="25"/>
    </row>
    <row r="193" spans="2:18" x14ac:dyDescent="0.3">
      <c r="B193" s="24"/>
      <c r="C193" s="24"/>
      <c r="D193" s="62"/>
      <c r="E193" s="25"/>
      <c r="F193" s="25"/>
      <c r="G193" s="25"/>
      <c r="H193" s="25"/>
      <c r="I193" s="25"/>
      <c r="J193" s="25"/>
      <c r="K193" s="25"/>
      <c r="L193" s="25"/>
      <c r="M193" s="25"/>
      <c r="N193" s="25"/>
      <c r="O193" s="25"/>
      <c r="P193" s="25"/>
      <c r="Q193" s="25"/>
      <c r="R193" s="25"/>
    </row>
    <row r="194" spans="2:18" x14ac:dyDescent="0.3">
      <c r="B194" s="24"/>
      <c r="C194" s="24"/>
      <c r="D194" s="62"/>
      <c r="E194" s="25"/>
      <c r="F194" s="25"/>
      <c r="G194" s="25"/>
      <c r="H194" s="25"/>
      <c r="I194" s="25"/>
      <c r="J194" s="25"/>
      <c r="K194" s="25"/>
      <c r="L194" s="25"/>
      <c r="M194" s="25"/>
      <c r="N194" s="25"/>
      <c r="O194" s="25"/>
      <c r="P194" s="25"/>
      <c r="Q194" s="25"/>
      <c r="R194" s="25"/>
    </row>
    <row r="195" spans="2:18" x14ac:dyDescent="0.3">
      <c r="B195" s="24"/>
      <c r="C195" s="24"/>
      <c r="D195" s="62"/>
      <c r="E195" s="25"/>
      <c r="F195" s="25"/>
      <c r="G195" s="25"/>
      <c r="H195" s="25"/>
      <c r="I195" s="25"/>
      <c r="J195" s="25"/>
      <c r="K195" s="25"/>
      <c r="L195" s="25"/>
      <c r="M195" s="25"/>
      <c r="N195" s="25"/>
      <c r="O195" s="25"/>
      <c r="P195" s="25"/>
      <c r="Q195" s="25"/>
      <c r="R195" s="25"/>
    </row>
    <row r="196" spans="2:18" x14ac:dyDescent="0.3">
      <c r="B196" s="24"/>
      <c r="C196" s="24"/>
      <c r="D196" s="62"/>
      <c r="E196" s="25"/>
      <c r="F196" s="25"/>
      <c r="G196" s="25"/>
      <c r="H196" s="25"/>
      <c r="I196" s="25"/>
      <c r="J196" s="25"/>
      <c r="K196" s="25"/>
      <c r="L196" s="25"/>
      <c r="M196" s="25"/>
      <c r="N196" s="25"/>
      <c r="O196" s="25"/>
      <c r="P196" s="25"/>
      <c r="Q196" s="25"/>
      <c r="R196" s="25"/>
    </row>
    <row r="197" spans="2:18" x14ac:dyDescent="0.3">
      <c r="B197" s="24"/>
      <c r="C197" s="24"/>
      <c r="D197" s="62"/>
      <c r="E197" s="25"/>
      <c r="F197" s="25"/>
      <c r="G197" s="25"/>
      <c r="H197" s="25"/>
      <c r="I197" s="25"/>
      <c r="J197" s="25"/>
      <c r="K197" s="25"/>
      <c r="L197" s="25"/>
      <c r="M197" s="25"/>
      <c r="N197" s="25"/>
      <c r="O197" s="25"/>
      <c r="P197" s="25"/>
      <c r="Q197" s="25"/>
      <c r="R197" s="25"/>
    </row>
    <row r="198" spans="2:18" x14ac:dyDescent="0.3">
      <c r="B198" s="24"/>
      <c r="C198" s="24"/>
      <c r="D198" s="62"/>
      <c r="E198" s="25"/>
      <c r="F198" s="25"/>
      <c r="G198" s="25"/>
      <c r="H198" s="25"/>
      <c r="I198" s="25"/>
      <c r="J198" s="25"/>
      <c r="K198" s="25"/>
      <c r="L198" s="25"/>
      <c r="M198" s="25"/>
      <c r="N198" s="25"/>
      <c r="O198" s="25"/>
      <c r="P198" s="25"/>
      <c r="Q198" s="25"/>
      <c r="R198" s="25"/>
    </row>
    <row r="199" spans="2:18" x14ac:dyDescent="0.3">
      <c r="B199" s="24"/>
      <c r="C199" s="24"/>
      <c r="D199" s="62"/>
      <c r="E199" s="25"/>
      <c r="F199" s="25"/>
      <c r="G199" s="25"/>
      <c r="H199" s="25"/>
      <c r="I199" s="25"/>
      <c r="J199" s="25"/>
      <c r="K199" s="25"/>
      <c r="L199" s="25"/>
      <c r="M199" s="25"/>
      <c r="N199" s="25"/>
      <c r="O199" s="25"/>
      <c r="P199" s="25"/>
      <c r="Q199" s="25"/>
      <c r="R199" s="25"/>
    </row>
    <row r="200" spans="2:18" x14ac:dyDescent="0.3">
      <c r="B200" s="24"/>
      <c r="C200" s="24"/>
      <c r="D200" s="62"/>
      <c r="E200" s="25"/>
      <c r="F200" s="25"/>
      <c r="G200" s="25"/>
      <c r="H200" s="25"/>
      <c r="I200" s="25"/>
      <c r="J200" s="25"/>
      <c r="K200" s="25"/>
      <c r="L200" s="25"/>
      <c r="M200" s="25"/>
      <c r="N200" s="25"/>
      <c r="O200" s="25"/>
      <c r="P200" s="25"/>
      <c r="Q200" s="25"/>
      <c r="R200" s="25"/>
    </row>
    <row r="201" spans="2:18" x14ac:dyDescent="0.3">
      <c r="B201" s="24"/>
      <c r="C201" s="24"/>
      <c r="D201" s="62"/>
      <c r="E201" s="25"/>
      <c r="F201" s="25"/>
      <c r="G201" s="25"/>
      <c r="H201" s="25"/>
      <c r="I201" s="25"/>
      <c r="J201" s="25"/>
      <c r="K201" s="25"/>
      <c r="L201" s="25"/>
      <c r="M201" s="25"/>
      <c r="N201" s="25"/>
      <c r="O201" s="25"/>
      <c r="P201" s="25"/>
      <c r="Q201" s="25"/>
      <c r="R201" s="25"/>
    </row>
    <row r="202" spans="2:18" x14ac:dyDescent="0.3">
      <c r="B202" s="24"/>
      <c r="C202" s="24"/>
      <c r="D202" s="62"/>
      <c r="E202" s="25"/>
      <c r="F202" s="25"/>
      <c r="G202" s="25"/>
      <c r="H202" s="25"/>
      <c r="I202" s="25"/>
      <c r="J202" s="25"/>
      <c r="K202" s="25"/>
      <c r="L202" s="25"/>
      <c r="M202" s="25"/>
      <c r="N202" s="25"/>
      <c r="O202" s="25"/>
      <c r="P202" s="25"/>
      <c r="Q202" s="25"/>
      <c r="R202" s="25"/>
    </row>
    <row r="203" spans="2:18" x14ac:dyDescent="0.3">
      <c r="B203" s="24"/>
      <c r="C203" s="24"/>
      <c r="D203" s="62"/>
      <c r="E203" s="25"/>
      <c r="F203" s="25"/>
      <c r="G203" s="25"/>
      <c r="H203" s="25"/>
      <c r="I203" s="25"/>
      <c r="J203" s="25"/>
      <c r="K203" s="25"/>
      <c r="L203" s="25"/>
      <c r="M203" s="25"/>
      <c r="N203" s="25"/>
      <c r="O203" s="25"/>
      <c r="P203" s="25"/>
      <c r="Q203" s="25"/>
      <c r="R203" s="25"/>
    </row>
    <row r="204" spans="2:18" x14ac:dyDescent="0.3">
      <c r="B204" s="24"/>
      <c r="C204" s="24"/>
      <c r="D204" s="62"/>
      <c r="E204" s="25"/>
      <c r="F204" s="25"/>
      <c r="G204" s="25"/>
      <c r="H204" s="25"/>
      <c r="I204" s="25"/>
      <c r="J204" s="25"/>
      <c r="K204" s="25"/>
      <c r="L204" s="25"/>
      <c r="M204" s="25"/>
      <c r="N204" s="25"/>
      <c r="O204" s="25"/>
      <c r="P204" s="25"/>
      <c r="Q204" s="25"/>
      <c r="R204" s="25"/>
    </row>
    <row r="205" spans="2:18" x14ac:dyDescent="0.3">
      <c r="B205" s="24"/>
      <c r="C205" s="24"/>
      <c r="D205" s="62"/>
      <c r="E205" s="25"/>
      <c r="F205" s="25"/>
      <c r="G205" s="25"/>
      <c r="H205" s="25"/>
      <c r="I205" s="25"/>
      <c r="J205" s="25"/>
      <c r="K205" s="25"/>
      <c r="L205" s="25"/>
      <c r="M205" s="25"/>
      <c r="N205" s="25"/>
      <c r="O205" s="25"/>
      <c r="P205" s="25"/>
      <c r="Q205" s="25"/>
      <c r="R205" s="25"/>
    </row>
    <row r="206" spans="2:18" x14ac:dyDescent="0.3">
      <c r="B206" s="24"/>
      <c r="C206" s="24"/>
      <c r="D206" s="62"/>
      <c r="E206" s="25"/>
      <c r="F206" s="25"/>
      <c r="G206" s="25"/>
      <c r="H206" s="25"/>
      <c r="I206" s="25"/>
      <c r="J206" s="25"/>
      <c r="K206" s="25"/>
      <c r="L206" s="25"/>
      <c r="M206" s="25"/>
      <c r="N206" s="25"/>
      <c r="O206" s="25"/>
      <c r="P206" s="25"/>
      <c r="Q206" s="25"/>
      <c r="R206" s="25"/>
    </row>
    <row r="207" spans="2:18" x14ac:dyDescent="0.3">
      <c r="B207" s="24"/>
      <c r="C207" s="24"/>
      <c r="D207" s="62"/>
      <c r="E207" s="25"/>
      <c r="F207" s="25"/>
      <c r="G207" s="25"/>
      <c r="H207" s="25"/>
      <c r="I207" s="25"/>
      <c r="J207" s="25"/>
      <c r="K207" s="25"/>
      <c r="L207" s="25"/>
      <c r="M207" s="25"/>
      <c r="N207" s="25"/>
      <c r="O207" s="25"/>
      <c r="P207" s="25"/>
      <c r="Q207" s="25"/>
      <c r="R207" s="25"/>
    </row>
    <row r="208" spans="2:18" x14ac:dyDescent="0.3">
      <c r="B208" s="24"/>
      <c r="C208" s="24"/>
      <c r="D208" s="62"/>
      <c r="E208" s="25"/>
      <c r="F208" s="25"/>
      <c r="G208" s="25"/>
      <c r="H208" s="25"/>
      <c r="I208" s="25"/>
      <c r="J208" s="25"/>
      <c r="K208" s="25"/>
      <c r="L208" s="25"/>
      <c r="M208" s="25"/>
      <c r="N208" s="25"/>
      <c r="O208" s="25"/>
      <c r="P208" s="25"/>
      <c r="Q208" s="25"/>
      <c r="R208" s="25"/>
    </row>
    <row r="209" spans="2:18" x14ac:dyDescent="0.3">
      <c r="B209" s="24"/>
      <c r="C209" s="24"/>
      <c r="D209" s="62"/>
      <c r="E209" s="25"/>
      <c r="F209" s="25"/>
      <c r="G209" s="25"/>
      <c r="H209" s="25"/>
      <c r="I209" s="25"/>
      <c r="J209" s="25"/>
      <c r="K209" s="25"/>
      <c r="L209" s="25"/>
      <c r="M209" s="25"/>
      <c r="N209" s="25"/>
      <c r="O209" s="25"/>
      <c r="P209" s="25"/>
      <c r="Q209" s="25"/>
      <c r="R209" s="25"/>
    </row>
    <row r="210" spans="2:18" x14ac:dyDescent="0.3">
      <c r="B210" s="24"/>
      <c r="C210" s="24"/>
      <c r="D210" s="62"/>
      <c r="E210" s="25"/>
      <c r="F210" s="25"/>
      <c r="G210" s="25"/>
      <c r="H210" s="25"/>
      <c r="I210" s="25"/>
      <c r="J210" s="25"/>
      <c r="K210" s="25"/>
      <c r="L210" s="25"/>
      <c r="M210" s="25"/>
      <c r="N210" s="25"/>
      <c r="O210" s="25"/>
      <c r="P210" s="25"/>
      <c r="Q210" s="25"/>
      <c r="R210" s="25"/>
    </row>
    <row r="211" spans="2:18" x14ac:dyDescent="0.3">
      <c r="B211" s="24"/>
      <c r="C211" s="24"/>
      <c r="D211" s="62"/>
      <c r="E211" s="25"/>
      <c r="F211" s="25"/>
      <c r="G211" s="25"/>
      <c r="H211" s="25"/>
      <c r="I211" s="25"/>
      <c r="J211" s="25"/>
      <c r="K211" s="25"/>
      <c r="L211" s="25"/>
      <c r="M211" s="25"/>
      <c r="N211" s="25"/>
      <c r="O211" s="25"/>
      <c r="P211" s="25"/>
      <c r="Q211" s="25"/>
      <c r="R211" s="25"/>
    </row>
    <row r="212" spans="2:18" x14ac:dyDescent="0.3">
      <c r="B212" s="24"/>
      <c r="C212" s="24"/>
      <c r="D212" s="62"/>
      <c r="E212" s="25"/>
      <c r="F212" s="25"/>
      <c r="G212" s="25"/>
      <c r="H212" s="25"/>
      <c r="I212" s="25"/>
      <c r="J212" s="25"/>
      <c r="K212" s="25"/>
      <c r="L212" s="25"/>
      <c r="M212" s="25"/>
      <c r="N212" s="25"/>
      <c r="O212" s="25"/>
      <c r="P212" s="25"/>
      <c r="Q212" s="25"/>
      <c r="R212" s="25"/>
    </row>
    <row r="213" spans="2:18" x14ac:dyDescent="0.3">
      <c r="B213" s="24"/>
      <c r="C213" s="24"/>
      <c r="D213" s="62"/>
      <c r="E213" s="25"/>
      <c r="F213" s="25"/>
      <c r="G213" s="25"/>
      <c r="H213" s="25"/>
      <c r="I213" s="25"/>
      <c r="J213" s="25"/>
      <c r="K213" s="25"/>
      <c r="L213" s="25"/>
      <c r="M213" s="25"/>
      <c r="N213" s="25"/>
      <c r="O213" s="25"/>
      <c r="P213" s="25"/>
      <c r="Q213" s="25"/>
      <c r="R213" s="25"/>
    </row>
    <row r="214" spans="2:18" x14ac:dyDescent="0.3">
      <c r="B214" s="24"/>
      <c r="C214" s="24"/>
      <c r="D214" s="62"/>
      <c r="E214" s="25"/>
      <c r="F214" s="25"/>
      <c r="G214" s="25"/>
      <c r="H214" s="25"/>
      <c r="I214" s="25"/>
      <c r="J214" s="25"/>
      <c r="K214" s="25"/>
      <c r="L214" s="25"/>
      <c r="M214" s="25"/>
      <c r="N214" s="25"/>
      <c r="O214" s="25"/>
      <c r="P214" s="25"/>
      <c r="Q214" s="25"/>
      <c r="R214" s="25"/>
    </row>
    <row r="215" spans="2:18" x14ac:dyDescent="0.3">
      <c r="B215" s="24"/>
      <c r="C215" s="24"/>
      <c r="D215" s="62"/>
      <c r="E215" s="25"/>
      <c r="F215" s="25"/>
      <c r="G215" s="25"/>
      <c r="H215" s="25"/>
      <c r="I215" s="25"/>
      <c r="J215" s="25"/>
      <c r="K215" s="25"/>
      <c r="L215" s="25"/>
      <c r="M215" s="25"/>
      <c r="N215" s="25"/>
      <c r="O215" s="25"/>
      <c r="P215" s="25"/>
      <c r="Q215" s="25"/>
      <c r="R215" s="25"/>
    </row>
    <row r="216" spans="2:18" x14ac:dyDescent="0.3">
      <c r="B216" s="24"/>
      <c r="C216" s="24"/>
      <c r="D216" s="62"/>
      <c r="E216" s="25"/>
      <c r="F216" s="25"/>
      <c r="G216" s="25"/>
      <c r="H216" s="25"/>
      <c r="I216" s="25"/>
      <c r="J216" s="25"/>
      <c r="K216" s="25"/>
      <c r="L216" s="25"/>
      <c r="M216" s="25"/>
      <c r="N216" s="25"/>
      <c r="O216" s="25"/>
      <c r="P216" s="25"/>
      <c r="Q216" s="25"/>
      <c r="R216" s="25"/>
    </row>
    <row r="217" spans="2:18" x14ac:dyDescent="0.3">
      <c r="B217" s="24"/>
      <c r="C217" s="24"/>
      <c r="D217" s="62"/>
      <c r="E217" s="25"/>
      <c r="F217" s="25"/>
      <c r="G217" s="25"/>
      <c r="H217" s="25"/>
      <c r="I217" s="25"/>
      <c r="J217" s="25"/>
      <c r="K217" s="25"/>
      <c r="L217" s="25"/>
      <c r="M217" s="25"/>
      <c r="N217" s="25"/>
      <c r="O217" s="25"/>
      <c r="P217" s="25"/>
      <c r="Q217" s="25"/>
      <c r="R217" s="25"/>
    </row>
    <row r="218" spans="2:18" x14ac:dyDescent="0.3">
      <c r="B218" s="24"/>
      <c r="C218" s="24"/>
      <c r="D218" s="62"/>
      <c r="E218" s="25"/>
      <c r="F218" s="25"/>
      <c r="G218" s="25"/>
      <c r="H218" s="25"/>
      <c r="I218" s="25"/>
      <c r="J218" s="25"/>
      <c r="K218" s="25"/>
      <c r="L218" s="25"/>
      <c r="M218" s="25"/>
      <c r="N218" s="25"/>
      <c r="O218" s="25"/>
      <c r="P218" s="25"/>
      <c r="Q218" s="25"/>
      <c r="R218" s="25"/>
    </row>
    <row r="219" spans="2:18" x14ac:dyDescent="0.3">
      <c r="B219" s="24"/>
      <c r="C219" s="24"/>
      <c r="D219" s="62"/>
      <c r="E219" s="25"/>
      <c r="F219" s="25"/>
      <c r="G219" s="25"/>
      <c r="H219" s="25"/>
      <c r="I219" s="25"/>
      <c r="J219" s="25"/>
      <c r="K219" s="25"/>
      <c r="L219" s="25"/>
      <c r="M219" s="25"/>
      <c r="N219" s="25"/>
      <c r="O219" s="25"/>
      <c r="P219" s="25"/>
      <c r="Q219" s="25"/>
      <c r="R219" s="25"/>
    </row>
    <row r="220" spans="2:18" x14ac:dyDescent="0.3">
      <c r="B220" s="24"/>
      <c r="C220" s="24"/>
      <c r="D220" s="62"/>
      <c r="E220" s="25"/>
      <c r="F220" s="25"/>
      <c r="G220" s="25"/>
      <c r="H220" s="25"/>
      <c r="I220" s="25"/>
      <c r="J220" s="25"/>
      <c r="K220" s="25"/>
      <c r="L220" s="25"/>
      <c r="M220" s="25"/>
      <c r="N220" s="25"/>
      <c r="O220" s="25"/>
      <c r="P220" s="25"/>
      <c r="Q220" s="25"/>
      <c r="R220" s="25"/>
    </row>
    <row r="221" spans="2:18" x14ac:dyDescent="0.3">
      <c r="B221" s="24"/>
      <c r="C221" s="24"/>
      <c r="D221" s="62"/>
      <c r="E221" s="25"/>
      <c r="F221" s="25"/>
      <c r="G221" s="25"/>
      <c r="H221" s="25"/>
      <c r="I221" s="25"/>
      <c r="J221" s="25"/>
      <c r="K221" s="25"/>
      <c r="L221" s="25"/>
      <c r="M221" s="25"/>
      <c r="N221" s="25"/>
      <c r="O221" s="25"/>
      <c r="P221" s="25"/>
      <c r="Q221" s="25"/>
      <c r="R221" s="25"/>
    </row>
    <row r="222" spans="2:18" x14ac:dyDescent="0.3">
      <c r="B222" s="24"/>
      <c r="C222" s="24"/>
      <c r="D222" s="62"/>
      <c r="E222" s="25"/>
      <c r="F222" s="25"/>
      <c r="G222" s="25"/>
      <c r="H222" s="25"/>
      <c r="I222" s="25"/>
      <c r="J222" s="25"/>
      <c r="K222" s="25"/>
      <c r="L222" s="25"/>
      <c r="M222" s="25"/>
      <c r="N222" s="25"/>
      <c r="O222" s="25"/>
      <c r="P222" s="25"/>
      <c r="Q222" s="25"/>
      <c r="R222" s="25"/>
    </row>
    <row r="223" spans="2:18" x14ac:dyDescent="0.3">
      <c r="B223" s="24"/>
      <c r="C223" s="24"/>
      <c r="D223" s="62"/>
      <c r="E223" s="25"/>
      <c r="F223" s="25"/>
      <c r="G223" s="25"/>
      <c r="H223" s="25"/>
      <c r="I223" s="25"/>
      <c r="J223" s="25"/>
      <c r="K223" s="25"/>
      <c r="L223" s="25"/>
      <c r="M223" s="25"/>
      <c r="N223" s="25"/>
      <c r="O223" s="25"/>
      <c r="P223" s="25"/>
      <c r="Q223" s="25"/>
      <c r="R223" s="25"/>
    </row>
    <row r="224" spans="2:18" x14ac:dyDescent="0.3">
      <c r="B224" s="24"/>
      <c r="C224" s="24"/>
      <c r="D224" s="62"/>
      <c r="E224" s="25"/>
      <c r="F224" s="25"/>
      <c r="G224" s="25"/>
      <c r="H224" s="25"/>
      <c r="I224" s="25"/>
      <c r="J224" s="25"/>
      <c r="K224" s="25"/>
      <c r="L224" s="25"/>
      <c r="M224" s="25"/>
      <c r="N224" s="25"/>
      <c r="O224" s="25"/>
      <c r="P224" s="25"/>
      <c r="Q224" s="25"/>
      <c r="R224" s="25"/>
    </row>
    <row r="225" spans="2:18" x14ac:dyDescent="0.3">
      <c r="B225" s="24"/>
      <c r="C225" s="24"/>
      <c r="D225" s="62"/>
      <c r="E225" s="25"/>
      <c r="F225" s="25"/>
      <c r="G225" s="25"/>
      <c r="H225" s="25"/>
      <c r="I225" s="25"/>
      <c r="J225" s="25"/>
      <c r="K225" s="25"/>
      <c r="L225" s="25"/>
      <c r="M225" s="25"/>
      <c r="N225" s="25"/>
      <c r="O225" s="25"/>
      <c r="P225" s="25"/>
      <c r="Q225" s="25"/>
      <c r="R225" s="25"/>
    </row>
    <row r="226" spans="2:18" x14ac:dyDescent="0.3">
      <c r="B226" s="24"/>
      <c r="C226" s="24"/>
      <c r="D226" s="62"/>
      <c r="E226" s="25"/>
      <c r="F226" s="25"/>
      <c r="G226" s="25"/>
      <c r="H226" s="25"/>
      <c r="I226" s="25"/>
      <c r="J226" s="25"/>
      <c r="K226" s="25"/>
      <c r="L226" s="25"/>
      <c r="M226" s="25"/>
      <c r="N226" s="25"/>
      <c r="O226" s="25"/>
      <c r="P226" s="25"/>
      <c r="Q226" s="25"/>
      <c r="R226" s="25"/>
    </row>
    <row r="227" spans="2:18" x14ac:dyDescent="0.3">
      <c r="B227" s="24"/>
      <c r="C227" s="24"/>
      <c r="D227" s="62"/>
      <c r="E227" s="25"/>
      <c r="F227" s="25"/>
      <c r="G227" s="25"/>
      <c r="H227" s="25"/>
      <c r="I227" s="25"/>
      <c r="J227" s="25"/>
      <c r="K227" s="25"/>
      <c r="L227" s="25"/>
      <c r="M227" s="25"/>
      <c r="N227" s="25"/>
      <c r="O227" s="25"/>
      <c r="P227" s="25"/>
      <c r="Q227" s="25"/>
      <c r="R227" s="25"/>
    </row>
    <row r="228" spans="2:18" x14ac:dyDescent="0.3">
      <c r="B228" s="24"/>
      <c r="C228" s="24"/>
      <c r="D228" s="62"/>
      <c r="E228" s="25"/>
      <c r="F228" s="25"/>
      <c r="G228" s="25"/>
      <c r="H228" s="25"/>
      <c r="I228" s="25"/>
      <c r="J228" s="25"/>
      <c r="K228" s="25"/>
      <c r="L228" s="25"/>
      <c r="M228" s="25"/>
      <c r="N228" s="25"/>
      <c r="O228" s="25"/>
      <c r="P228" s="25"/>
      <c r="Q228" s="25"/>
      <c r="R228" s="25"/>
    </row>
    <row r="229" spans="2:18" x14ac:dyDescent="0.3">
      <c r="B229" s="24"/>
      <c r="C229" s="24"/>
      <c r="D229" s="62"/>
      <c r="E229" s="25"/>
      <c r="F229" s="25"/>
      <c r="G229" s="25"/>
      <c r="H229" s="25"/>
      <c r="I229" s="25"/>
      <c r="J229" s="25"/>
      <c r="K229" s="25"/>
      <c r="L229" s="25"/>
      <c r="M229" s="25"/>
      <c r="N229" s="25"/>
      <c r="O229" s="25"/>
      <c r="P229" s="25"/>
      <c r="Q229" s="25"/>
      <c r="R229" s="25"/>
    </row>
    <row r="230" spans="2:18" x14ac:dyDescent="0.3">
      <c r="B230" s="24"/>
      <c r="C230" s="24"/>
      <c r="D230" s="62"/>
      <c r="E230" s="25"/>
      <c r="F230" s="25"/>
      <c r="G230" s="25"/>
      <c r="H230" s="25"/>
      <c r="I230" s="25"/>
      <c r="J230" s="25"/>
      <c r="K230" s="25"/>
      <c r="L230" s="25"/>
      <c r="M230" s="25"/>
      <c r="N230" s="25"/>
      <c r="O230" s="25"/>
      <c r="P230" s="25"/>
      <c r="Q230" s="25"/>
      <c r="R230" s="25"/>
    </row>
    <row r="231" spans="2:18" x14ac:dyDescent="0.3">
      <c r="B231" s="24"/>
      <c r="C231" s="24"/>
      <c r="D231" s="62"/>
      <c r="E231" s="25"/>
      <c r="F231" s="25"/>
      <c r="G231" s="25"/>
      <c r="H231" s="25"/>
      <c r="I231" s="25"/>
      <c r="J231" s="25"/>
      <c r="K231" s="25"/>
      <c r="L231" s="25"/>
      <c r="M231" s="25"/>
      <c r="N231" s="25"/>
      <c r="O231" s="25"/>
      <c r="P231" s="25"/>
      <c r="Q231" s="25"/>
      <c r="R231" s="25"/>
    </row>
    <row r="232" spans="2:18" x14ac:dyDescent="0.3">
      <c r="B232" s="24"/>
      <c r="C232" s="24"/>
      <c r="D232" s="62"/>
      <c r="E232" s="25"/>
      <c r="F232" s="25"/>
      <c r="G232" s="25"/>
      <c r="H232" s="25"/>
      <c r="I232" s="25"/>
      <c r="J232" s="25"/>
      <c r="K232" s="25"/>
      <c r="L232" s="25"/>
      <c r="M232" s="25"/>
      <c r="N232" s="25"/>
      <c r="O232" s="25"/>
      <c r="P232" s="25"/>
      <c r="Q232" s="25"/>
      <c r="R232" s="25"/>
    </row>
    <row r="233" spans="2:18" x14ac:dyDescent="0.3">
      <c r="B233" s="24"/>
      <c r="C233" s="24"/>
      <c r="D233" s="62"/>
      <c r="E233" s="25"/>
      <c r="F233" s="25"/>
      <c r="G233" s="25"/>
      <c r="H233" s="25"/>
      <c r="I233" s="25"/>
      <c r="J233" s="25"/>
      <c r="K233" s="25"/>
      <c r="L233" s="25"/>
      <c r="M233" s="25"/>
      <c r="N233" s="25"/>
      <c r="O233" s="25"/>
      <c r="P233" s="25"/>
      <c r="Q233" s="25"/>
      <c r="R233" s="25"/>
    </row>
    <row r="234" spans="2:18" x14ac:dyDescent="0.3">
      <c r="B234" s="24"/>
      <c r="C234" s="24"/>
      <c r="D234" s="62"/>
      <c r="E234" s="25"/>
      <c r="F234" s="25"/>
      <c r="G234" s="25"/>
      <c r="H234" s="25"/>
      <c r="I234" s="25"/>
      <c r="J234" s="25"/>
      <c r="K234" s="25"/>
      <c r="L234" s="25"/>
      <c r="M234" s="25"/>
      <c r="N234" s="25"/>
      <c r="O234" s="25"/>
      <c r="P234" s="25"/>
      <c r="Q234" s="25"/>
      <c r="R234" s="25"/>
    </row>
    <row r="235" spans="2:18" x14ac:dyDescent="0.3">
      <c r="B235" s="24"/>
      <c r="C235" s="24"/>
      <c r="D235" s="62"/>
      <c r="E235" s="25"/>
      <c r="F235" s="25"/>
      <c r="G235" s="25"/>
      <c r="H235" s="25"/>
      <c r="I235" s="25"/>
      <c r="J235" s="25"/>
      <c r="K235" s="25"/>
      <c r="L235" s="25"/>
      <c r="M235" s="25"/>
      <c r="N235" s="25"/>
      <c r="O235" s="25"/>
      <c r="P235" s="25"/>
      <c r="Q235" s="25"/>
      <c r="R235" s="25"/>
    </row>
    <row r="236" spans="2:18" x14ac:dyDescent="0.3">
      <c r="B236" s="24"/>
      <c r="C236" s="24"/>
      <c r="D236" s="62"/>
      <c r="E236" s="25"/>
      <c r="F236" s="25"/>
      <c r="G236" s="25"/>
      <c r="H236" s="25"/>
      <c r="I236" s="25"/>
      <c r="J236" s="25"/>
      <c r="K236" s="25"/>
      <c r="L236" s="25"/>
      <c r="M236" s="25"/>
      <c r="N236" s="25"/>
      <c r="O236" s="25"/>
      <c r="P236" s="25"/>
      <c r="Q236" s="25"/>
      <c r="R236" s="25"/>
    </row>
    <row r="237" spans="2:18" x14ac:dyDescent="0.3">
      <c r="B237" s="24"/>
      <c r="C237" s="24"/>
      <c r="D237" s="62"/>
      <c r="E237" s="25"/>
      <c r="F237" s="25"/>
      <c r="G237" s="25"/>
      <c r="H237" s="25"/>
      <c r="I237" s="25"/>
      <c r="J237" s="25"/>
      <c r="K237" s="25"/>
      <c r="L237" s="25"/>
      <c r="M237" s="25"/>
      <c r="N237" s="25"/>
      <c r="O237" s="25"/>
      <c r="P237" s="25"/>
      <c r="Q237" s="25"/>
      <c r="R237" s="25"/>
    </row>
    <row r="238" spans="2:18" x14ac:dyDescent="0.3">
      <c r="B238" s="24"/>
      <c r="C238" s="24"/>
      <c r="D238" s="62"/>
      <c r="E238" s="25"/>
      <c r="F238" s="25"/>
      <c r="G238" s="25"/>
      <c r="H238" s="25"/>
      <c r="I238" s="25"/>
      <c r="J238" s="25"/>
      <c r="K238" s="25"/>
      <c r="L238" s="25"/>
      <c r="M238" s="25"/>
      <c r="N238" s="25"/>
      <c r="O238" s="25"/>
      <c r="P238" s="25"/>
      <c r="Q238" s="25"/>
      <c r="R238" s="25"/>
    </row>
    <row r="239" spans="2:18" x14ac:dyDescent="0.3">
      <c r="B239" s="24"/>
      <c r="C239" s="24"/>
      <c r="D239" s="62"/>
      <c r="E239" s="25"/>
      <c r="F239" s="25"/>
      <c r="G239" s="25"/>
      <c r="H239" s="25"/>
      <c r="I239" s="25"/>
      <c r="J239" s="25"/>
      <c r="K239" s="25"/>
      <c r="L239" s="25"/>
      <c r="M239" s="25"/>
      <c r="N239" s="25"/>
      <c r="O239" s="25"/>
      <c r="P239" s="25"/>
      <c r="Q239" s="25"/>
      <c r="R239" s="25"/>
    </row>
    <row r="240" spans="2:18" x14ac:dyDescent="0.3">
      <c r="B240" s="24"/>
      <c r="C240" s="24"/>
      <c r="D240" s="62"/>
      <c r="E240" s="25"/>
      <c r="F240" s="25"/>
      <c r="G240" s="25"/>
      <c r="H240" s="25"/>
      <c r="I240" s="25"/>
      <c r="J240" s="25"/>
      <c r="K240" s="25"/>
      <c r="L240" s="25"/>
      <c r="M240" s="25"/>
      <c r="N240" s="25"/>
      <c r="O240" s="25"/>
      <c r="P240" s="25"/>
      <c r="Q240" s="25"/>
      <c r="R240" s="25"/>
    </row>
    <row r="241" spans="2:18" x14ac:dyDescent="0.3">
      <c r="B241" s="24"/>
      <c r="C241" s="24"/>
      <c r="D241" s="62"/>
      <c r="E241" s="25"/>
      <c r="F241" s="25"/>
      <c r="G241" s="25"/>
      <c r="H241" s="25"/>
      <c r="I241" s="25"/>
      <c r="J241" s="25"/>
      <c r="K241" s="25"/>
      <c r="L241" s="25"/>
      <c r="M241" s="25"/>
      <c r="N241" s="25"/>
      <c r="O241" s="25"/>
      <c r="P241" s="25"/>
      <c r="Q241" s="25"/>
      <c r="R241" s="25"/>
    </row>
    <row r="242" spans="2:18" x14ac:dyDescent="0.3">
      <c r="B242" s="24"/>
      <c r="C242" s="24"/>
      <c r="D242" s="62"/>
      <c r="E242" s="25"/>
      <c r="F242" s="25"/>
      <c r="G242" s="25"/>
      <c r="H242" s="25"/>
      <c r="I242" s="25"/>
      <c r="J242" s="25"/>
      <c r="K242" s="25"/>
      <c r="L242" s="25"/>
      <c r="M242" s="25"/>
      <c r="N242" s="25"/>
      <c r="O242" s="25"/>
      <c r="P242" s="25"/>
      <c r="Q242" s="25"/>
      <c r="R242" s="25"/>
    </row>
    <row r="243" spans="2:18" x14ac:dyDescent="0.3">
      <c r="B243" s="24"/>
      <c r="C243" s="24"/>
      <c r="D243" s="62"/>
      <c r="E243" s="25"/>
      <c r="F243" s="25"/>
      <c r="G243" s="25"/>
      <c r="H243" s="25"/>
      <c r="I243" s="25"/>
      <c r="J243" s="25"/>
      <c r="K243" s="25"/>
      <c r="L243" s="25"/>
      <c r="M243" s="25"/>
      <c r="N243" s="25"/>
      <c r="O243" s="25"/>
      <c r="P243" s="25"/>
      <c r="Q243" s="25"/>
      <c r="R243" s="25"/>
    </row>
    <row r="244" spans="2:18" x14ac:dyDescent="0.3">
      <c r="B244" s="24"/>
      <c r="C244" s="24"/>
      <c r="D244" s="62"/>
      <c r="E244" s="25"/>
      <c r="F244" s="25"/>
      <c r="G244" s="25"/>
      <c r="H244" s="25"/>
      <c r="I244" s="25"/>
      <c r="J244" s="25"/>
      <c r="K244" s="25"/>
      <c r="L244" s="25"/>
      <c r="M244" s="25"/>
      <c r="N244" s="25"/>
      <c r="O244" s="25"/>
      <c r="P244" s="25"/>
      <c r="Q244" s="25"/>
      <c r="R244" s="25"/>
    </row>
    <row r="245" spans="2:18" x14ac:dyDescent="0.3">
      <c r="B245" s="24"/>
      <c r="C245" s="24"/>
      <c r="D245" s="62"/>
      <c r="E245" s="25"/>
      <c r="F245" s="25"/>
      <c r="G245" s="25"/>
      <c r="H245" s="25"/>
      <c r="I245" s="25"/>
      <c r="J245" s="25"/>
      <c r="K245" s="25"/>
      <c r="L245" s="25"/>
      <c r="M245" s="25"/>
      <c r="N245" s="25"/>
      <c r="O245" s="25"/>
      <c r="P245" s="25"/>
      <c r="Q245" s="25"/>
      <c r="R245" s="25"/>
    </row>
    <row r="246" spans="2:18" x14ac:dyDescent="0.3">
      <c r="B246" s="24"/>
      <c r="C246" s="24"/>
      <c r="D246" s="62"/>
      <c r="E246" s="25"/>
      <c r="F246" s="25"/>
      <c r="G246" s="25"/>
      <c r="H246" s="25"/>
      <c r="I246" s="25"/>
      <c r="J246" s="25"/>
      <c r="K246" s="25"/>
      <c r="L246" s="25"/>
      <c r="M246" s="25"/>
      <c r="N246" s="25"/>
      <c r="O246" s="25"/>
      <c r="P246" s="25"/>
      <c r="Q246" s="25"/>
      <c r="R246" s="25"/>
    </row>
    <row r="247" spans="2:18" x14ac:dyDescent="0.3">
      <c r="B247" s="24"/>
      <c r="C247" s="24"/>
      <c r="D247" s="62"/>
      <c r="E247" s="25"/>
      <c r="F247" s="25"/>
      <c r="G247" s="25"/>
      <c r="H247" s="25"/>
      <c r="I247" s="25"/>
      <c r="J247" s="25"/>
      <c r="K247" s="25"/>
      <c r="L247" s="25"/>
      <c r="M247" s="25"/>
      <c r="N247" s="25"/>
      <c r="O247" s="25"/>
      <c r="P247" s="25"/>
      <c r="Q247" s="25"/>
      <c r="R247" s="25"/>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tabColor indexed="12"/>
    <outlinePr applyStyles="1" summaryBelow="0"/>
    <pageSetUpPr fitToPage="1"/>
  </sheetPr>
  <dimension ref="A3:R217"/>
  <sheetViews>
    <sheetView workbookViewId="0">
      <selection activeCell="E8" sqref="E8"/>
    </sheetView>
  </sheetViews>
  <sheetFormatPr defaultColWidth="9.1796875" defaultRowHeight="13" x14ac:dyDescent="0.3"/>
  <cols>
    <col min="1" max="1" width="56.7265625" style="21" bestFit="1" customWidth="1"/>
    <col min="2" max="2" width="13.81640625" style="22" bestFit="1" customWidth="1"/>
    <col min="3" max="3" width="14.7265625" style="22" bestFit="1" customWidth="1"/>
    <col min="4" max="4" width="17.453125" style="22" bestFit="1" customWidth="1"/>
    <col min="5" max="5" width="15.453125" style="22" bestFit="1" customWidth="1"/>
    <col min="6" max="6" width="16.26953125" style="21" hidden="1" customWidth="1"/>
    <col min="7" max="7" width="3.54296875" style="21" hidden="1" customWidth="1"/>
    <col min="8" max="8" width="2.26953125" style="21" hidden="1" customWidth="1"/>
    <col min="9" max="9" width="3.54296875" style="114" customWidth="1"/>
    <col min="10" max="10" width="2.453125" style="114" customWidth="1"/>
    <col min="11" max="11" width="9.1796875" style="21" customWidth="1"/>
    <col min="12" max="16384" width="9.1796875" style="21"/>
  </cols>
  <sheetData>
    <row r="3" spans="1:18" ht="18.5" x14ac:dyDescent="0.45">
      <c r="A3" s="282" t="str">
        <f>DEBT_LAST_5_YEARS</f>
        <v>Державний та гарантований державою борг України за останні 5 років</v>
      </c>
      <c r="B3" s="282"/>
      <c r="C3" s="282"/>
      <c r="D3" s="282"/>
      <c r="E3" s="282"/>
      <c r="F3" s="29"/>
      <c r="G3" s="29"/>
      <c r="H3" s="29"/>
    </row>
    <row r="4" spans="1:18" ht="18.5" x14ac:dyDescent="0.45">
      <c r="A4" s="282" t="str">
        <f>BY_AVERAGE_TERM</f>
        <v>(в розрізі середнього терміну обігу та середньої ставки)</v>
      </c>
      <c r="B4" s="282"/>
      <c r="C4" s="282"/>
      <c r="D4" s="282"/>
      <c r="E4" s="282"/>
      <c r="F4" s="29"/>
      <c r="G4" s="29"/>
      <c r="H4" s="29"/>
    </row>
    <row r="5" spans="1:18" ht="18.5" x14ac:dyDescent="0.45">
      <c r="A5" s="1"/>
      <c r="B5" s="1"/>
      <c r="C5" s="1"/>
      <c r="D5" s="1"/>
      <c r="E5" s="1"/>
      <c r="F5" s="29"/>
      <c r="G5" s="29"/>
      <c r="H5" s="29"/>
    </row>
    <row r="6" spans="1:18" x14ac:dyDescent="0.3">
      <c r="B6" s="24"/>
      <c r="C6" s="24"/>
      <c r="D6" s="24"/>
      <c r="E6" s="24"/>
      <c r="F6" s="25"/>
      <c r="G6" s="25"/>
      <c r="H6" s="25"/>
      <c r="I6" s="115"/>
      <c r="J6" s="115"/>
      <c r="K6" s="25"/>
      <c r="L6" s="25"/>
      <c r="M6" s="25"/>
      <c r="N6" s="25"/>
      <c r="O6" s="25"/>
      <c r="P6" s="25"/>
      <c r="Q6" s="25"/>
      <c r="R6" s="25"/>
    </row>
    <row r="7" spans="1:18" s="26" customFormat="1" x14ac:dyDescent="0.3">
      <c r="B7" s="27"/>
      <c r="C7" s="27"/>
      <c r="D7" s="27"/>
      <c r="E7" s="27"/>
      <c r="I7" s="116"/>
      <c r="J7" s="116"/>
    </row>
    <row r="8" spans="1:18" s="37" customFormat="1" ht="35.25" customHeight="1" x14ac:dyDescent="0.25">
      <c r="A8" s="156" t="s">
        <v>3</v>
      </c>
      <c r="B8" s="156" t="str">
        <f>AVERAGE_RATE</f>
        <v>Середня ставка,
%</v>
      </c>
      <c r="C8" s="156" t="str">
        <f>AVERAGE_CIRCULATION</f>
        <v>Середній термін обігу, років.</v>
      </c>
      <c r="D8" s="156" t="str">
        <f>AVERAGE_TO_REPAYMENT</f>
        <v>Середній термін до погашення, років.</v>
      </c>
      <c r="E8" s="156" t="str">
        <f>AMOUNT_OF_DEBT &amp;" "&amp; VALVAL</f>
        <v>Сума боргу млрд. одиниць</v>
      </c>
      <c r="F8" s="157" t="s">
        <v>4</v>
      </c>
      <c r="G8" s="157" t="s">
        <v>5</v>
      </c>
      <c r="H8" s="157" t="s">
        <v>6</v>
      </c>
      <c r="I8" s="158"/>
      <c r="J8" s="158"/>
    </row>
    <row r="9" spans="1:18" s="37" customFormat="1" ht="15.5" x14ac:dyDescent="0.3">
      <c r="A9" s="270" t="s">
        <v>7</v>
      </c>
      <c r="B9" s="271">
        <v>5.085</v>
      </c>
      <c r="C9" s="271">
        <v>13.48</v>
      </c>
      <c r="D9" s="271">
        <v>12.26</v>
      </c>
      <c r="E9" s="271">
        <v>6954292241.1800003</v>
      </c>
      <c r="F9" s="272">
        <v>0</v>
      </c>
      <c r="G9" s="272">
        <v>0</v>
      </c>
      <c r="H9" s="272">
        <v>3</v>
      </c>
      <c r="I9" s="115" t="str">
        <f t="shared" ref="I9:I28" si="0">IF(A9="","",A9 &amp; "; " &amp;B9 &amp; "%; "&amp;C9 &amp;"р.")</f>
        <v>Державний та гарантований державою борг України; 5,085%; 13,48р.</v>
      </c>
      <c r="J9" s="117">
        <f>E9</f>
        <v>6954292241.1800003</v>
      </c>
    </row>
    <row r="10" spans="1:18" ht="15.5" x14ac:dyDescent="0.35">
      <c r="A10" s="273" t="s">
        <v>8</v>
      </c>
      <c r="B10" s="274">
        <v>5.0609999999999999</v>
      </c>
      <c r="C10" s="274">
        <v>13.63</v>
      </c>
      <c r="D10" s="274">
        <v>12.58</v>
      </c>
      <c r="E10" s="274">
        <v>6667051153.1400003</v>
      </c>
      <c r="F10" s="275">
        <v>0</v>
      </c>
      <c r="G10" s="275">
        <v>0</v>
      </c>
      <c r="H10" s="275">
        <v>2</v>
      </c>
      <c r="I10" s="115" t="str">
        <f t="shared" si="0"/>
        <v xml:space="preserve">    Державний борг; 5,061%; 13,63р.</v>
      </c>
      <c r="J10" s="117">
        <f t="shared" ref="J10:J61" si="1">E10</f>
        <v>6667051153.1400003</v>
      </c>
      <c r="K10" s="25"/>
      <c r="L10" s="25"/>
      <c r="M10" s="25"/>
      <c r="N10" s="25"/>
      <c r="O10" s="25"/>
      <c r="P10" s="25"/>
      <c r="Q10" s="25"/>
      <c r="R10" s="25"/>
    </row>
    <row r="11" spans="1:18" ht="15.5" x14ac:dyDescent="0.35">
      <c r="A11" s="233" t="s">
        <v>9</v>
      </c>
      <c r="B11" s="234">
        <v>13.114000000000001</v>
      </c>
      <c r="C11" s="234">
        <v>6.55</v>
      </c>
      <c r="D11" s="234">
        <v>6.23</v>
      </c>
      <c r="E11" s="234">
        <v>1862713085.75</v>
      </c>
      <c r="F11" s="232">
        <v>1</v>
      </c>
      <c r="G11" s="232">
        <v>0</v>
      </c>
      <c r="H11" s="232">
        <v>0</v>
      </c>
      <c r="I11" s="115" t="str">
        <f t="shared" si="0"/>
        <v xml:space="preserve">      Державний внутрішній борг; 13,114%; 6,55р.</v>
      </c>
      <c r="J11" s="117">
        <f t="shared" si="1"/>
        <v>1862713085.75</v>
      </c>
      <c r="K11" s="25"/>
      <c r="L11" s="25"/>
      <c r="M11" s="25"/>
      <c r="N11" s="25"/>
      <c r="O11" s="25"/>
      <c r="P11" s="25"/>
      <c r="Q11" s="25"/>
      <c r="R11" s="25"/>
    </row>
    <row r="12" spans="1:18" ht="15.5" x14ac:dyDescent="0.35">
      <c r="A12" s="230" t="s">
        <v>10</v>
      </c>
      <c r="B12" s="231">
        <v>13.121</v>
      </c>
      <c r="C12" s="231">
        <v>6.53</v>
      </c>
      <c r="D12" s="231">
        <v>6.23</v>
      </c>
      <c r="E12" s="231">
        <v>1861258308</v>
      </c>
      <c r="F12" s="232">
        <v>0</v>
      </c>
      <c r="G12" s="232">
        <v>0</v>
      </c>
      <c r="H12" s="232">
        <v>0</v>
      </c>
      <c r="I12" s="115" t="str">
        <f t="shared" si="0"/>
        <v xml:space="preserve">         в т.ч. ОВДП; 13,121%; 6,53р.</v>
      </c>
      <c r="J12" s="117">
        <f t="shared" si="1"/>
        <v>1861258308</v>
      </c>
      <c r="K12" s="25"/>
      <c r="L12" s="25"/>
      <c r="M12" s="25"/>
      <c r="N12" s="25"/>
      <c r="O12" s="25"/>
      <c r="P12" s="25"/>
      <c r="Q12" s="25"/>
      <c r="R12" s="25"/>
    </row>
    <row r="13" spans="1:18" ht="15.5" x14ac:dyDescent="0.35">
      <c r="A13" s="230" t="s">
        <v>11</v>
      </c>
      <c r="B13" s="231">
        <v>9.1880000000000006</v>
      </c>
      <c r="C13" s="231">
        <v>7.38</v>
      </c>
      <c r="D13" s="231">
        <v>3.14</v>
      </c>
      <c r="E13" s="231">
        <v>58630439</v>
      </c>
      <c r="F13" s="232">
        <v>0</v>
      </c>
      <c r="G13" s="232">
        <v>1</v>
      </c>
      <c r="H13" s="232">
        <v>0</v>
      </c>
      <c r="I13" s="115" t="str">
        <f t="shared" si="0"/>
        <v xml:space="preserve">            ОВДП (10 - річні); 9,188%; 7,38р.</v>
      </c>
      <c r="J13" s="117">
        <f t="shared" si="1"/>
        <v>58630439</v>
      </c>
      <c r="K13" s="25"/>
      <c r="L13" s="25"/>
      <c r="M13" s="25"/>
      <c r="N13" s="25"/>
      <c r="O13" s="25"/>
      <c r="P13" s="25"/>
      <c r="Q13" s="25"/>
      <c r="R13" s="25"/>
    </row>
    <row r="14" spans="1:18" ht="15.5" x14ac:dyDescent="0.35">
      <c r="A14" s="230" t="s">
        <v>12</v>
      </c>
      <c r="B14" s="231">
        <v>11.252000000000001</v>
      </c>
      <c r="C14" s="231">
        <v>11</v>
      </c>
      <c r="D14" s="231">
        <v>2.04</v>
      </c>
      <c r="E14" s="231">
        <v>17533000</v>
      </c>
      <c r="F14" s="232">
        <v>0</v>
      </c>
      <c r="G14" s="232">
        <v>1</v>
      </c>
      <c r="H14" s="232">
        <v>0</v>
      </c>
      <c r="I14" s="115" t="str">
        <f t="shared" si="0"/>
        <v xml:space="preserve">            ОВДП (11 - річні); 11,252%; 11р.</v>
      </c>
      <c r="J14" s="117">
        <f t="shared" si="1"/>
        <v>17533000</v>
      </c>
      <c r="K14" s="25"/>
      <c r="L14" s="25"/>
      <c r="M14" s="25"/>
      <c r="N14" s="25"/>
      <c r="O14" s="25"/>
      <c r="P14" s="25"/>
      <c r="Q14" s="25"/>
      <c r="R14" s="25"/>
    </row>
    <row r="15" spans="1:18" ht="15.5" x14ac:dyDescent="0.35">
      <c r="A15" s="230" t="s">
        <v>13</v>
      </c>
      <c r="B15" s="231">
        <v>3.24</v>
      </c>
      <c r="C15" s="231">
        <v>0.89</v>
      </c>
      <c r="D15" s="231">
        <v>0.68</v>
      </c>
      <c r="E15" s="231">
        <v>3797711.45</v>
      </c>
      <c r="F15" s="232">
        <v>0</v>
      </c>
      <c r="G15" s="232">
        <v>1</v>
      </c>
      <c r="H15" s="232">
        <v>0</v>
      </c>
      <c r="I15" s="115" t="str">
        <f t="shared" si="0"/>
        <v xml:space="preserve">            ОВДП (12 - місячні); 3,24%; 0,89р.</v>
      </c>
      <c r="J15" s="117">
        <f t="shared" si="1"/>
        <v>3797711.45</v>
      </c>
      <c r="K15" s="25"/>
      <c r="L15" s="25"/>
      <c r="M15" s="25"/>
      <c r="N15" s="25"/>
      <c r="O15" s="25"/>
      <c r="P15" s="25"/>
      <c r="Q15" s="25"/>
      <c r="R15" s="25"/>
    </row>
    <row r="16" spans="1:18" ht="15.5" x14ac:dyDescent="0.35">
      <c r="A16" s="230" t="s">
        <v>14</v>
      </c>
      <c r="B16" s="231">
        <v>10.085000000000001</v>
      </c>
      <c r="C16" s="231">
        <v>12.04</v>
      </c>
      <c r="D16" s="231">
        <v>5.67</v>
      </c>
      <c r="E16" s="231">
        <v>50000000</v>
      </c>
      <c r="F16" s="232">
        <v>0</v>
      </c>
      <c r="G16" s="232">
        <v>1</v>
      </c>
      <c r="H16" s="232">
        <v>0</v>
      </c>
      <c r="I16" s="115" t="str">
        <f t="shared" si="0"/>
        <v xml:space="preserve">            ОВДП (12 - річні); 10,085%; 12,04р.</v>
      </c>
      <c r="J16" s="117">
        <f t="shared" si="1"/>
        <v>50000000</v>
      </c>
      <c r="K16" s="25"/>
      <c r="L16" s="25"/>
      <c r="M16" s="25"/>
      <c r="N16" s="25"/>
      <c r="O16" s="25"/>
      <c r="P16" s="25"/>
      <c r="Q16" s="25"/>
      <c r="R16" s="25"/>
    </row>
    <row r="17" spans="1:18" ht="15.5" x14ac:dyDescent="0.35">
      <c r="A17" s="230" t="s">
        <v>15</v>
      </c>
      <c r="B17" s="231">
        <v>8.5239999999999991</v>
      </c>
      <c r="C17" s="231">
        <v>13.15</v>
      </c>
      <c r="D17" s="231">
        <v>6.01</v>
      </c>
      <c r="E17" s="231">
        <v>33700001</v>
      </c>
      <c r="F17" s="232">
        <v>0</v>
      </c>
      <c r="G17" s="232">
        <v>1</v>
      </c>
      <c r="H17" s="232">
        <v>0</v>
      </c>
      <c r="I17" s="115" t="str">
        <f t="shared" si="0"/>
        <v xml:space="preserve">            ОВДП (13 - річні); 8,524%; 13,15р.</v>
      </c>
      <c r="J17" s="117">
        <f t="shared" si="1"/>
        <v>33700001</v>
      </c>
      <c r="K17" s="25"/>
      <c r="L17" s="25"/>
      <c r="M17" s="25"/>
      <c r="N17" s="25"/>
      <c r="O17" s="25"/>
      <c r="P17" s="25"/>
      <c r="Q17" s="25"/>
      <c r="R17" s="25"/>
    </row>
    <row r="18" spans="1:18" ht="15.5" x14ac:dyDescent="0.35">
      <c r="A18" s="230" t="s">
        <v>16</v>
      </c>
      <c r="B18" s="231">
        <v>7.4379999999999997</v>
      </c>
      <c r="C18" s="231">
        <v>14.04</v>
      </c>
      <c r="D18" s="231">
        <v>6.09</v>
      </c>
      <c r="E18" s="231">
        <v>46900000</v>
      </c>
      <c r="F18" s="232">
        <v>0</v>
      </c>
      <c r="G18" s="232">
        <v>1</v>
      </c>
      <c r="H18" s="232">
        <v>0</v>
      </c>
      <c r="I18" s="115" t="str">
        <f t="shared" si="0"/>
        <v xml:space="preserve">            ОВДП (14 - річні); 7,438%; 14,04р.</v>
      </c>
      <c r="J18" s="117">
        <f t="shared" si="1"/>
        <v>46900000</v>
      </c>
      <c r="K18" s="25"/>
      <c r="L18" s="25"/>
      <c r="M18" s="25"/>
      <c r="N18" s="25"/>
      <c r="O18" s="25"/>
      <c r="P18" s="25"/>
      <c r="Q18" s="25"/>
      <c r="R18" s="25"/>
    </row>
    <row r="19" spans="1:18" ht="15.5" x14ac:dyDescent="0.35">
      <c r="A19" s="230" t="s">
        <v>17</v>
      </c>
      <c r="B19" s="231">
        <v>10.048999999999999</v>
      </c>
      <c r="C19" s="231">
        <v>14.69</v>
      </c>
      <c r="D19" s="231">
        <v>10.32</v>
      </c>
      <c r="E19" s="231">
        <v>225503117</v>
      </c>
      <c r="F19" s="232">
        <v>0</v>
      </c>
      <c r="G19" s="232">
        <v>1</v>
      </c>
      <c r="H19" s="232">
        <v>0</v>
      </c>
      <c r="I19" s="115" t="str">
        <f t="shared" si="0"/>
        <v xml:space="preserve">            ОВДП (15 - річні); 10,049%; 14,69р.</v>
      </c>
      <c r="J19" s="117">
        <f t="shared" si="1"/>
        <v>225503117</v>
      </c>
      <c r="K19" s="25"/>
      <c r="L19" s="25"/>
      <c r="M19" s="25"/>
      <c r="N19" s="25"/>
      <c r="O19" s="25"/>
      <c r="P19" s="25"/>
      <c r="Q19" s="25"/>
      <c r="R19" s="25"/>
    </row>
    <row r="20" spans="1:18" ht="15.5" x14ac:dyDescent="0.35">
      <c r="A20" s="230" t="s">
        <v>18</v>
      </c>
      <c r="B20" s="231">
        <v>8.5749999999999993</v>
      </c>
      <c r="C20" s="231">
        <v>15.85</v>
      </c>
      <c r="D20" s="231">
        <v>8.61</v>
      </c>
      <c r="E20" s="231">
        <v>12097744</v>
      </c>
      <c r="F20" s="232">
        <v>0</v>
      </c>
      <c r="G20" s="232">
        <v>1</v>
      </c>
      <c r="H20" s="232">
        <v>0</v>
      </c>
      <c r="I20" s="115" t="str">
        <f t="shared" si="0"/>
        <v xml:space="preserve">            ОВДП (16 - річні); 8,575%; 15,85р.</v>
      </c>
      <c r="J20" s="117">
        <f t="shared" si="1"/>
        <v>12097744</v>
      </c>
      <c r="K20" s="25"/>
      <c r="L20" s="25"/>
      <c r="M20" s="25"/>
      <c r="N20" s="25"/>
      <c r="O20" s="25"/>
      <c r="P20" s="25"/>
      <c r="Q20" s="25"/>
      <c r="R20" s="25"/>
    </row>
    <row r="21" spans="1:18" ht="15.5" x14ac:dyDescent="0.35">
      <c r="A21" s="230" t="s">
        <v>19</v>
      </c>
      <c r="B21" s="231">
        <v>11.401</v>
      </c>
      <c r="C21" s="231">
        <v>16.899999999999999</v>
      </c>
      <c r="D21" s="231">
        <v>12.53</v>
      </c>
      <c r="E21" s="231">
        <v>27097744</v>
      </c>
      <c r="F21" s="232">
        <v>0</v>
      </c>
      <c r="G21" s="232">
        <v>1</v>
      </c>
      <c r="H21" s="232">
        <v>0</v>
      </c>
      <c r="I21" s="115" t="str">
        <f t="shared" si="0"/>
        <v xml:space="preserve">            ОВДП (17 - річні); 11,401%; 16,9р.</v>
      </c>
      <c r="J21" s="117">
        <f t="shared" si="1"/>
        <v>27097744</v>
      </c>
      <c r="K21" s="25"/>
      <c r="L21" s="25"/>
      <c r="M21" s="25"/>
      <c r="N21" s="25"/>
      <c r="O21" s="25"/>
      <c r="P21" s="25"/>
      <c r="Q21" s="25"/>
      <c r="R21" s="25"/>
    </row>
    <row r="22" spans="1:18" ht="15.5" x14ac:dyDescent="0.35">
      <c r="A22" s="233" t="s">
        <v>20</v>
      </c>
      <c r="B22" s="234">
        <v>9.5749999999999993</v>
      </c>
      <c r="C22" s="234">
        <v>1.1499999999999999</v>
      </c>
      <c r="D22" s="234">
        <v>0.6</v>
      </c>
      <c r="E22" s="234">
        <v>284414505.55000001</v>
      </c>
      <c r="F22" s="232">
        <v>0</v>
      </c>
      <c r="G22" s="232">
        <v>1</v>
      </c>
      <c r="H22" s="232">
        <v>0</v>
      </c>
      <c r="I22" s="115" t="str">
        <f t="shared" si="0"/>
        <v xml:space="preserve">            ОВДП (18 - місячні); 9,575%; 1,15р.</v>
      </c>
      <c r="J22" s="117">
        <f t="shared" si="1"/>
        <v>284414505.55000001</v>
      </c>
      <c r="K22" s="25"/>
      <c r="L22" s="25"/>
      <c r="M22" s="25"/>
      <c r="N22" s="25"/>
      <c r="O22" s="25"/>
      <c r="P22" s="25"/>
      <c r="Q22" s="25"/>
      <c r="R22" s="25"/>
    </row>
    <row r="23" spans="1:18" ht="15.5" x14ac:dyDescent="0.35">
      <c r="A23" s="230" t="s">
        <v>21</v>
      </c>
      <c r="B23" s="231">
        <v>8.17</v>
      </c>
      <c r="C23" s="231">
        <v>17.850000000000001</v>
      </c>
      <c r="D23" s="231">
        <v>10.61</v>
      </c>
      <c r="E23" s="231">
        <v>12097744</v>
      </c>
      <c r="F23" s="232">
        <v>0</v>
      </c>
      <c r="G23" s="232">
        <v>1</v>
      </c>
      <c r="H23" s="232">
        <v>0</v>
      </c>
      <c r="I23" s="115" t="str">
        <f t="shared" si="0"/>
        <v xml:space="preserve">            ОВДП (18 - річні); 8,17%; 17,85р.</v>
      </c>
      <c r="J23" s="117">
        <f t="shared" si="1"/>
        <v>12097744</v>
      </c>
      <c r="K23" s="25"/>
      <c r="L23" s="25"/>
      <c r="M23" s="25"/>
      <c r="N23" s="25"/>
      <c r="O23" s="25"/>
      <c r="P23" s="25"/>
      <c r="Q23" s="25"/>
      <c r="R23" s="25"/>
    </row>
    <row r="24" spans="1:18" ht="15.5" x14ac:dyDescent="0.35">
      <c r="A24" s="230" t="s">
        <v>22</v>
      </c>
      <c r="B24" s="231">
        <v>10.8</v>
      </c>
      <c r="C24" s="231">
        <v>18.850000000000001</v>
      </c>
      <c r="D24" s="231">
        <v>11.61</v>
      </c>
      <c r="E24" s="231">
        <v>12097744</v>
      </c>
      <c r="F24" s="232">
        <v>0</v>
      </c>
      <c r="G24" s="232">
        <v>1</v>
      </c>
      <c r="H24" s="232">
        <v>0</v>
      </c>
      <c r="I24" s="115" t="str">
        <f t="shared" si="0"/>
        <v xml:space="preserve">            ОВДП (19 - річні); 10,8%; 18,85р.</v>
      </c>
      <c r="J24" s="117">
        <f t="shared" si="1"/>
        <v>12097744</v>
      </c>
      <c r="K24" s="25"/>
      <c r="L24" s="25"/>
      <c r="M24" s="25"/>
      <c r="N24" s="25"/>
      <c r="O24" s="25"/>
      <c r="P24" s="25"/>
      <c r="Q24" s="25"/>
      <c r="R24" s="25"/>
    </row>
    <row r="25" spans="1:18" ht="15.5" x14ac:dyDescent="0.35">
      <c r="A25" s="233" t="s">
        <v>23</v>
      </c>
      <c r="B25" s="234">
        <v>17.736000000000001</v>
      </c>
      <c r="C25" s="234">
        <v>1.76</v>
      </c>
      <c r="D25" s="234">
        <v>0.96</v>
      </c>
      <c r="E25" s="234">
        <v>285632238</v>
      </c>
      <c r="F25" s="232">
        <v>0</v>
      </c>
      <c r="G25" s="232">
        <v>1</v>
      </c>
      <c r="H25" s="232">
        <v>0</v>
      </c>
      <c r="I25" s="115" t="str">
        <f t="shared" si="0"/>
        <v xml:space="preserve">            ОВДП (2 - річні); 17,736%; 1,76р.</v>
      </c>
      <c r="J25" s="117">
        <f t="shared" si="1"/>
        <v>285632238</v>
      </c>
      <c r="K25" s="25"/>
      <c r="L25" s="25"/>
      <c r="M25" s="25"/>
      <c r="N25" s="25"/>
      <c r="O25" s="25"/>
      <c r="P25" s="25"/>
      <c r="Q25" s="25"/>
      <c r="R25" s="25"/>
    </row>
    <row r="26" spans="1:18" ht="15.5" x14ac:dyDescent="0.35">
      <c r="A26" s="233" t="s">
        <v>24</v>
      </c>
      <c r="B26" s="234">
        <v>10.8</v>
      </c>
      <c r="C26" s="234">
        <v>19.850000000000001</v>
      </c>
      <c r="D26" s="234">
        <v>12.61</v>
      </c>
      <c r="E26" s="234">
        <v>12097744</v>
      </c>
      <c r="F26" s="232">
        <v>0</v>
      </c>
      <c r="G26" s="232">
        <v>1</v>
      </c>
      <c r="H26" s="232">
        <v>0</v>
      </c>
      <c r="I26" s="115" t="str">
        <f t="shared" si="0"/>
        <v xml:space="preserve">            ОВДП (20 - річні); 10,8%; 19,85р.</v>
      </c>
      <c r="J26" s="117">
        <f t="shared" si="1"/>
        <v>12097744</v>
      </c>
      <c r="K26" s="25"/>
      <c r="L26" s="25"/>
      <c r="M26" s="25"/>
      <c r="N26" s="25"/>
      <c r="O26" s="25"/>
      <c r="P26" s="25"/>
      <c r="Q26" s="25"/>
      <c r="R26" s="25"/>
    </row>
    <row r="27" spans="1:18" ht="15.5" x14ac:dyDescent="0.35">
      <c r="A27" s="230" t="s">
        <v>25</v>
      </c>
      <c r="B27" s="231">
        <v>10.8</v>
      </c>
      <c r="C27" s="231">
        <v>20.85</v>
      </c>
      <c r="D27" s="231">
        <v>13.61</v>
      </c>
      <c r="E27" s="231">
        <v>12097744</v>
      </c>
      <c r="F27" s="232">
        <v>0</v>
      </c>
      <c r="G27" s="232">
        <v>1</v>
      </c>
      <c r="H27" s="232">
        <v>0</v>
      </c>
      <c r="I27" s="115" t="str">
        <f t="shared" si="0"/>
        <v xml:space="preserve">            ОВДП (21 - річні); 10,8%; 20,85р.</v>
      </c>
      <c r="J27" s="117">
        <f t="shared" si="1"/>
        <v>12097744</v>
      </c>
      <c r="K27" s="25"/>
      <c r="L27" s="25"/>
      <c r="M27" s="25"/>
      <c r="N27" s="25"/>
      <c r="O27" s="25"/>
      <c r="P27" s="25"/>
      <c r="Q27" s="25"/>
      <c r="R27" s="25"/>
    </row>
    <row r="28" spans="1:18" ht="15.5" x14ac:dyDescent="0.35">
      <c r="A28" s="235" t="s">
        <v>26</v>
      </c>
      <c r="B28" s="236">
        <v>10.8</v>
      </c>
      <c r="C28" s="236">
        <v>21.85</v>
      </c>
      <c r="D28" s="236">
        <v>14.61</v>
      </c>
      <c r="E28" s="236">
        <v>12097744</v>
      </c>
      <c r="F28" s="235">
        <v>0</v>
      </c>
      <c r="G28" s="235">
        <v>1</v>
      </c>
      <c r="H28" s="235">
        <v>0</v>
      </c>
      <c r="I28" s="115" t="str">
        <f t="shared" si="0"/>
        <v xml:space="preserve">            ОВДП (22 - річні); 10,8%; 21,85р.</v>
      </c>
      <c r="J28" s="117">
        <f t="shared" si="1"/>
        <v>12097744</v>
      </c>
      <c r="K28" s="25"/>
      <c r="L28" s="25"/>
      <c r="M28" s="25"/>
      <c r="N28" s="25"/>
      <c r="O28" s="25"/>
      <c r="P28" s="25"/>
      <c r="Q28" s="25"/>
      <c r="R28" s="25"/>
    </row>
    <row r="29" spans="1:18" ht="15.5" x14ac:dyDescent="0.35">
      <c r="A29" s="235" t="s">
        <v>27</v>
      </c>
      <c r="B29" s="236">
        <v>10.8</v>
      </c>
      <c r="C29" s="236">
        <v>22.85</v>
      </c>
      <c r="D29" s="236">
        <v>15.61</v>
      </c>
      <c r="E29" s="236">
        <v>12097744</v>
      </c>
      <c r="F29" s="235">
        <v>0</v>
      </c>
      <c r="G29" s="235">
        <v>1</v>
      </c>
      <c r="H29" s="235">
        <v>0</v>
      </c>
      <c r="I29" s="115" t="str">
        <f t="shared" ref="I29:I53" si="2">IF(A29="","",A29 &amp; "; " &amp;B29 &amp; "%; "&amp;C29 &amp;"р.")</f>
        <v xml:space="preserve">            ОВДП (23 - річні); 10,8%; 22,85р.</v>
      </c>
      <c r="J29" s="117">
        <f t="shared" si="1"/>
        <v>12097744</v>
      </c>
      <c r="K29" s="25"/>
      <c r="L29" s="25"/>
      <c r="M29" s="25"/>
      <c r="N29" s="25"/>
      <c r="O29" s="25"/>
      <c r="P29" s="25"/>
      <c r="Q29" s="25"/>
      <c r="R29" s="25"/>
    </row>
    <row r="30" spans="1:18" ht="15.5" x14ac:dyDescent="0.35">
      <c r="A30" s="235" t="s">
        <v>28</v>
      </c>
      <c r="B30" s="236">
        <v>10.8</v>
      </c>
      <c r="C30" s="236">
        <v>23.85</v>
      </c>
      <c r="D30" s="236">
        <v>16.61</v>
      </c>
      <c r="E30" s="236">
        <v>12097744</v>
      </c>
      <c r="F30" s="235">
        <v>0</v>
      </c>
      <c r="G30" s="235">
        <v>1</v>
      </c>
      <c r="H30" s="235">
        <v>0</v>
      </c>
      <c r="I30" s="115" t="str">
        <f t="shared" si="2"/>
        <v xml:space="preserve">            ОВДП (24 - річні); 10,8%; 23,85р.</v>
      </c>
      <c r="J30" s="117">
        <f t="shared" si="1"/>
        <v>12097744</v>
      </c>
      <c r="K30" s="25"/>
      <c r="L30" s="25"/>
      <c r="M30" s="25"/>
      <c r="N30" s="25"/>
      <c r="O30" s="25"/>
      <c r="P30" s="25"/>
      <c r="Q30" s="25"/>
      <c r="R30" s="25"/>
    </row>
    <row r="31" spans="1:18" ht="15.5" x14ac:dyDescent="0.35">
      <c r="A31" s="235" t="s">
        <v>29</v>
      </c>
      <c r="B31" s="236">
        <v>10.8</v>
      </c>
      <c r="C31" s="236">
        <v>24.85</v>
      </c>
      <c r="D31" s="236">
        <v>17.61</v>
      </c>
      <c r="E31" s="236">
        <v>12097744</v>
      </c>
      <c r="F31" s="235">
        <v>0</v>
      </c>
      <c r="G31" s="235">
        <v>1</v>
      </c>
      <c r="H31" s="235">
        <v>0</v>
      </c>
      <c r="I31" s="115" t="str">
        <f t="shared" si="2"/>
        <v xml:space="preserve">            ОВДП (25 - річні); 10,8%; 24,85р.</v>
      </c>
      <c r="J31" s="117">
        <f t="shared" si="1"/>
        <v>12097744</v>
      </c>
      <c r="K31" s="25"/>
      <c r="L31" s="25"/>
      <c r="M31" s="25"/>
      <c r="N31" s="25"/>
      <c r="O31" s="25"/>
      <c r="P31" s="25"/>
      <c r="Q31" s="25"/>
      <c r="R31" s="25"/>
    </row>
    <row r="32" spans="1:18" ht="15.5" x14ac:dyDescent="0.35">
      <c r="A32" s="235" t="s">
        <v>30</v>
      </c>
      <c r="B32" s="236">
        <v>10.8</v>
      </c>
      <c r="C32" s="236">
        <v>25.85</v>
      </c>
      <c r="D32" s="236">
        <v>18.61</v>
      </c>
      <c r="E32" s="236">
        <v>12097744</v>
      </c>
      <c r="F32" s="235">
        <v>0</v>
      </c>
      <c r="G32" s="235">
        <v>1</v>
      </c>
      <c r="H32" s="235">
        <v>0</v>
      </c>
      <c r="I32" s="115" t="str">
        <f t="shared" si="2"/>
        <v xml:space="preserve">            ОВДП (26 - річні); 10,8%; 25,85р.</v>
      </c>
      <c r="J32" s="117">
        <f t="shared" si="1"/>
        <v>12097744</v>
      </c>
      <c r="K32" s="25"/>
      <c r="L32" s="25"/>
      <c r="M32" s="25"/>
      <c r="N32" s="25"/>
      <c r="O32" s="25"/>
      <c r="P32" s="25"/>
      <c r="Q32" s="25"/>
      <c r="R32" s="25"/>
    </row>
    <row r="33" spans="1:18" ht="15.5" x14ac:dyDescent="0.35">
      <c r="A33" s="235" t="s">
        <v>31</v>
      </c>
      <c r="B33" s="236">
        <v>10.8</v>
      </c>
      <c r="C33" s="236">
        <v>26.85</v>
      </c>
      <c r="D33" s="236">
        <v>19.61</v>
      </c>
      <c r="E33" s="236">
        <v>12097744</v>
      </c>
      <c r="F33" s="235">
        <v>0</v>
      </c>
      <c r="G33" s="235">
        <v>1</v>
      </c>
      <c r="H33" s="235">
        <v>0</v>
      </c>
      <c r="I33" s="115" t="str">
        <f t="shared" si="2"/>
        <v xml:space="preserve">            ОВДП (27 - річні); 10,8%; 26,85р.</v>
      </c>
      <c r="J33" s="117">
        <f t="shared" si="1"/>
        <v>12097744</v>
      </c>
      <c r="K33" s="25"/>
      <c r="L33" s="25"/>
      <c r="M33" s="25"/>
      <c r="N33" s="25"/>
      <c r="O33" s="25"/>
      <c r="P33" s="25"/>
      <c r="Q33" s="25"/>
      <c r="R33" s="25"/>
    </row>
    <row r="34" spans="1:18" ht="15.5" x14ac:dyDescent="0.35">
      <c r="A34" s="235" t="s">
        <v>32</v>
      </c>
      <c r="B34" s="236">
        <v>10.8</v>
      </c>
      <c r="C34" s="236">
        <v>27.85</v>
      </c>
      <c r="D34" s="236">
        <v>20.61</v>
      </c>
      <c r="E34" s="236">
        <v>12097744</v>
      </c>
      <c r="F34" s="235">
        <v>0</v>
      </c>
      <c r="G34" s="235">
        <v>1</v>
      </c>
      <c r="H34" s="235">
        <v>0</v>
      </c>
      <c r="I34" s="115" t="str">
        <f t="shared" si="2"/>
        <v xml:space="preserve">            ОВДП (28 - річні); 10,8%; 27,85р.</v>
      </c>
      <c r="J34" s="117">
        <f t="shared" si="1"/>
        <v>12097744</v>
      </c>
      <c r="K34" s="25"/>
      <c r="L34" s="25"/>
      <c r="M34" s="25"/>
      <c r="N34" s="25"/>
      <c r="O34" s="25"/>
      <c r="P34" s="25"/>
      <c r="Q34" s="25"/>
      <c r="R34" s="25"/>
    </row>
    <row r="35" spans="1:18" ht="15.5" x14ac:dyDescent="0.35">
      <c r="A35" s="235" t="s">
        <v>33</v>
      </c>
      <c r="B35" s="236">
        <v>10.8</v>
      </c>
      <c r="C35" s="236">
        <v>28.85</v>
      </c>
      <c r="D35" s="236">
        <v>21.61</v>
      </c>
      <c r="E35" s="236">
        <v>12097744</v>
      </c>
      <c r="F35" s="235">
        <v>0</v>
      </c>
      <c r="G35" s="235">
        <v>1</v>
      </c>
      <c r="H35" s="235">
        <v>0</v>
      </c>
      <c r="I35" s="115" t="str">
        <f t="shared" si="2"/>
        <v xml:space="preserve">            ОВДП (29 - річні); 10,8%; 28,85р.</v>
      </c>
      <c r="J35" s="117">
        <f t="shared" si="1"/>
        <v>12097744</v>
      </c>
      <c r="K35" s="25"/>
      <c r="L35" s="25"/>
      <c r="M35" s="25"/>
      <c r="N35" s="25"/>
      <c r="O35" s="25"/>
      <c r="P35" s="25"/>
      <c r="Q35" s="25"/>
      <c r="R35" s="25"/>
    </row>
    <row r="36" spans="1:18" ht="15.5" x14ac:dyDescent="0.35">
      <c r="A36" s="235" t="s">
        <v>34</v>
      </c>
      <c r="B36" s="236">
        <v>0</v>
      </c>
      <c r="C36" s="236">
        <v>0</v>
      </c>
      <c r="D36" s="236">
        <v>0</v>
      </c>
      <c r="E36" s="236">
        <v>0</v>
      </c>
      <c r="F36" s="235">
        <v>0</v>
      </c>
      <c r="G36" s="235">
        <v>1</v>
      </c>
      <c r="H36" s="235">
        <v>0</v>
      </c>
      <c r="I36" s="115" t="str">
        <f t="shared" si="2"/>
        <v xml:space="preserve">            ОВДП (3 - місячні); 0%; 0р.</v>
      </c>
      <c r="J36" s="117">
        <f t="shared" si="1"/>
        <v>0</v>
      </c>
      <c r="K36" s="25"/>
      <c r="L36" s="25"/>
      <c r="M36" s="25"/>
      <c r="N36" s="25"/>
      <c r="O36" s="25"/>
      <c r="P36" s="25"/>
      <c r="Q36" s="25"/>
      <c r="R36" s="25"/>
    </row>
    <row r="37" spans="1:18" ht="15.5" x14ac:dyDescent="0.35">
      <c r="A37" s="235" t="s">
        <v>35</v>
      </c>
      <c r="B37" s="236">
        <v>17.632000000000001</v>
      </c>
      <c r="C37" s="236">
        <v>2.58</v>
      </c>
      <c r="D37" s="236">
        <v>2.37</v>
      </c>
      <c r="E37" s="236">
        <v>284557994</v>
      </c>
      <c r="F37" s="235">
        <v>0</v>
      </c>
      <c r="G37" s="235">
        <v>1</v>
      </c>
      <c r="H37" s="235">
        <v>0</v>
      </c>
      <c r="I37" s="115" t="str">
        <f t="shared" si="2"/>
        <v xml:space="preserve">            ОВДП (3 - річні); 17,632%; 2,58р.</v>
      </c>
      <c r="J37" s="117">
        <f t="shared" si="1"/>
        <v>284557994</v>
      </c>
      <c r="K37" s="25"/>
      <c r="L37" s="25"/>
      <c r="M37" s="25"/>
      <c r="N37" s="25"/>
      <c r="O37" s="25"/>
      <c r="P37" s="25"/>
      <c r="Q37" s="25"/>
      <c r="R37" s="25"/>
    </row>
    <row r="38" spans="1:18" ht="15.5" x14ac:dyDescent="0.35">
      <c r="A38" s="235" t="s">
        <v>36</v>
      </c>
      <c r="B38" s="236">
        <v>13.706</v>
      </c>
      <c r="C38" s="236">
        <v>18.71</v>
      </c>
      <c r="D38" s="236">
        <v>16.09</v>
      </c>
      <c r="E38" s="236">
        <v>257097751</v>
      </c>
      <c r="F38" s="235">
        <v>0</v>
      </c>
      <c r="G38" s="235">
        <v>1</v>
      </c>
      <c r="H38" s="235">
        <v>0</v>
      </c>
      <c r="I38" s="115" t="str">
        <f t="shared" si="2"/>
        <v xml:space="preserve">            ОВДП (30 - річні); 13,706%; 18,71р.</v>
      </c>
      <c r="J38" s="117">
        <f t="shared" si="1"/>
        <v>257097751</v>
      </c>
      <c r="K38" s="25"/>
      <c r="L38" s="25"/>
      <c r="M38" s="25"/>
      <c r="N38" s="25"/>
      <c r="O38" s="25"/>
      <c r="P38" s="25"/>
      <c r="Q38" s="25"/>
      <c r="R38" s="25"/>
    </row>
    <row r="39" spans="1:18" ht="15.5" x14ac:dyDescent="0.35">
      <c r="A39" s="235" t="s">
        <v>37</v>
      </c>
      <c r="B39" s="236">
        <v>16.661000000000001</v>
      </c>
      <c r="C39" s="236">
        <v>3.03</v>
      </c>
      <c r="D39" s="236">
        <v>3.38</v>
      </c>
      <c r="E39" s="236">
        <v>16191801</v>
      </c>
      <c r="F39" s="235">
        <v>0</v>
      </c>
      <c r="G39" s="235">
        <v>1</v>
      </c>
      <c r="H39" s="235">
        <v>0</v>
      </c>
      <c r="I39" s="115" t="str">
        <f t="shared" si="2"/>
        <v xml:space="preserve">            ОВДП (4 - річні); 16,661%; 3,03р.</v>
      </c>
      <c r="J39" s="117">
        <f t="shared" si="1"/>
        <v>16191801</v>
      </c>
      <c r="K39" s="25"/>
      <c r="L39" s="25"/>
      <c r="M39" s="25"/>
      <c r="N39" s="25"/>
      <c r="O39" s="25"/>
      <c r="P39" s="25"/>
      <c r="Q39" s="25"/>
      <c r="R39" s="25"/>
    </row>
    <row r="40" spans="1:18" ht="15.5" x14ac:dyDescent="0.35">
      <c r="A40" s="235" t="s">
        <v>38</v>
      </c>
      <c r="B40" s="236">
        <v>17.425999999999998</v>
      </c>
      <c r="C40" s="236">
        <v>3.4</v>
      </c>
      <c r="D40" s="236">
        <v>2.81</v>
      </c>
      <c r="E40" s="236">
        <v>46069236</v>
      </c>
      <c r="F40" s="235">
        <v>0</v>
      </c>
      <c r="G40" s="235">
        <v>1</v>
      </c>
      <c r="H40" s="235">
        <v>0</v>
      </c>
      <c r="I40" s="115" t="str">
        <f t="shared" si="2"/>
        <v xml:space="preserve">            ОВДП (5 - річні); 17,426%; 3,4р.</v>
      </c>
      <c r="J40" s="117">
        <f t="shared" si="1"/>
        <v>46069236</v>
      </c>
      <c r="K40" s="25"/>
      <c r="L40" s="25"/>
      <c r="M40" s="25"/>
      <c r="N40" s="25"/>
      <c r="O40" s="25"/>
      <c r="P40" s="25"/>
      <c r="Q40" s="25"/>
      <c r="R40" s="25"/>
    </row>
    <row r="41" spans="1:18" ht="15.5" x14ac:dyDescent="0.35">
      <c r="A41" s="235" t="s">
        <v>39</v>
      </c>
      <c r="B41" s="236">
        <v>0</v>
      </c>
      <c r="C41" s="236">
        <v>0</v>
      </c>
      <c r="D41" s="236">
        <v>0</v>
      </c>
      <c r="E41" s="236">
        <v>0</v>
      </c>
      <c r="F41" s="235">
        <v>0</v>
      </c>
      <c r="G41" s="235">
        <v>1</v>
      </c>
      <c r="H41" s="235">
        <v>0</v>
      </c>
      <c r="I41" s="115" t="str">
        <f t="shared" si="2"/>
        <v xml:space="preserve">            ОВДП (6 - місячні); 0%; 0р.</v>
      </c>
      <c r="J41" s="117">
        <f t="shared" si="1"/>
        <v>0</v>
      </c>
      <c r="K41" s="25"/>
      <c r="L41" s="25"/>
      <c r="M41" s="25"/>
      <c r="N41" s="25"/>
      <c r="O41" s="25"/>
      <c r="P41" s="25"/>
      <c r="Q41" s="25"/>
      <c r="R41" s="25"/>
    </row>
    <row r="42" spans="1:18" ht="15.5" x14ac:dyDescent="0.35">
      <c r="A42" s="235" t="s">
        <v>40</v>
      </c>
      <c r="B42" s="236">
        <v>15.84</v>
      </c>
      <c r="C42" s="236">
        <v>5.39</v>
      </c>
      <c r="D42" s="236">
        <v>0.16</v>
      </c>
      <c r="E42" s="236">
        <v>41080407</v>
      </c>
      <c r="F42" s="235">
        <v>0</v>
      </c>
      <c r="G42" s="235">
        <v>1</v>
      </c>
      <c r="H42" s="235">
        <v>0</v>
      </c>
      <c r="I42" s="115" t="str">
        <f t="shared" si="2"/>
        <v xml:space="preserve">            ОВДП (6 - річні); 15,84%; 5,39р.</v>
      </c>
      <c r="J42" s="117">
        <f t="shared" si="1"/>
        <v>41080407</v>
      </c>
      <c r="K42" s="25"/>
      <c r="L42" s="25"/>
      <c r="M42" s="25"/>
      <c r="N42" s="25"/>
      <c r="O42" s="25"/>
      <c r="P42" s="25"/>
      <c r="Q42" s="25"/>
      <c r="R42" s="25"/>
    </row>
    <row r="43" spans="1:18" ht="15.5" x14ac:dyDescent="0.35">
      <c r="A43" s="235" t="s">
        <v>41</v>
      </c>
      <c r="B43" s="236">
        <v>10.002000000000001</v>
      </c>
      <c r="C43" s="236">
        <v>5.32</v>
      </c>
      <c r="D43" s="236">
        <v>2.12</v>
      </c>
      <c r="E43" s="236">
        <v>17781691</v>
      </c>
      <c r="F43" s="235">
        <v>0</v>
      </c>
      <c r="G43" s="235">
        <v>1</v>
      </c>
      <c r="H43" s="235">
        <v>0</v>
      </c>
      <c r="I43" s="115" t="str">
        <f t="shared" si="2"/>
        <v xml:space="preserve">            ОВДП (7 - річні); 10,002%; 5,32р.</v>
      </c>
      <c r="J43" s="117">
        <f t="shared" si="1"/>
        <v>17781691</v>
      </c>
      <c r="K43" s="25"/>
      <c r="L43" s="25"/>
      <c r="M43" s="25"/>
      <c r="N43" s="25"/>
      <c r="O43" s="25"/>
      <c r="P43" s="25"/>
      <c r="Q43" s="25"/>
      <c r="R43" s="25"/>
    </row>
    <row r="44" spans="1:18" ht="15.5" x14ac:dyDescent="0.35">
      <c r="A44" s="235" t="s">
        <v>42</v>
      </c>
      <c r="B44" s="236">
        <v>11.29</v>
      </c>
      <c r="C44" s="236">
        <v>8.17</v>
      </c>
      <c r="D44" s="236">
        <v>0.86</v>
      </c>
      <c r="E44" s="236">
        <v>2500000</v>
      </c>
      <c r="F44" s="235">
        <v>0</v>
      </c>
      <c r="G44" s="235">
        <v>1</v>
      </c>
      <c r="H44" s="235">
        <v>0</v>
      </c>
      <c r="I44" s="115" t="str">
        <f t="shared" si="2"/>
        <v xml:space="preserve">            ОВДП (8 - річні); 11,29%; 8,17р.</v>
      </c>
      <c r="J44" s="117">
        <f t="shared" si="1"/>
        <v>2500000</v>
      </c>
      <c r="K44" s="25"/>
      <c r="L44" s="25"/>
      <c r="M44" s="25"/>
      <c r="N44" s="25"/>
      <c r="O44" s="25"/>
      <c r="P44" s="25"/>
      <c r="Q44" s="25"/>
      <c r="R44" s="25"/>
    </row>
    <row r="45" spans="1:18" ht="15.5" x14ac:dyDescent="0.35">
      <c r="A45" s="235" t="s">
        <v>43</v>
      </c>
      <c r="B45" s="236">
        <v>0</v>
      </c>
      <c r="C45" s="236">
        <v>0</v>
      </c>
      <c r="D45" s="236">
        <v>0</v>
      </c>
      <c r="E45" s="236">
        <v>0</v>
      </c>
      <c r="F45" s="235">
        <v>0</v>
      </c>
      <c r="G45" s="235">
        <v>1</v>
      </c>
      <c r="H45" s="235">
        <v>0</v>
      </c>
      <c r="I45" s="115" t="str">
        <f t="shared" si="2"/>
        <v xml:space="preserve">            ОВДП (9 - місячні); 0%; 0р.</v>
      </c>
      <c r="J45" s="117">
        <f t="shared" si="1"/>
        <v>0</v>
      </c>
      <c r="K45" s="25"/>
      <c r="L45" s="25"/>
      <c r="M45" s="25"/>
      <c r="N45" s="25"/>
      <c r="O45" s="25"/>
      <c r="P45" s="25"/>
      <c r="Q45" s="25"/>
      <c r="R45" s="25"/>
    </row>
    <row r="46" spans="1:18" ht="15.5" x14ac:dyDescent="0.35">
      <c r="A46" s="235" t="s">
        <v>44</v>
      </c>
      <c r="B46" s="236">
        <v>10.57</v>
      </c>
      <c r="C46" s="236">
        <v>9.2899999999999991</v>
      </c>
      <c r="D46" s="236">
        <v>2.36</v>
      </c>
      <c r="E46" s="236">
        <v>5500000</v>
      </c>
      <c r="F46" s="235">
        <v>0</v>
      </c>
      <c r="G46" s="235">
        <v>1</v>
      </c>
      <c r="H46" s="235">
        <v>0</v>
      </c>
      <c r="I46" s="115" t="str">
        <f t="shared" si="2"/>
        <v xml:space="preserve">            ОВДП (9 - річні); 10,57%; 9,29р.</v>
      </c>
      <c r="J46" s="117">
        <f t="shared" si="1"/>
        <v>5500000</v>
      </c>
      <c r="K46" s="25"/>
      <c r="L46" s="25"/>
      <c r="M46" s="25"/>
      <c r="N46" s="25"/>
      <c r="O46" s="25"/>
      <c r="P46" s="25"/>
      <c r="Q46" s="25"/>
      <c r="R46" s="25"/>
    </row>
    <row r="47" spans="1:18" ht="15.5" x14ac:dyDescent="0.35">
      <c r="A47" s="235" t="s">
        <v>45</v>
      </c>
      <c r="B47" s="236">
        <v>1.9390000000000001</v>
      </c>
      <c r="C47" s="236">
        <v>17.989999999999998</v>
      </c>
      <c r="D47" s="236">
        <v>15.04</v>
      </c>
      <c r="E47" s="236">
        <v>4804338067.3800001</v>
      </c>
      <c r="F47" s="235">
        <v>1</v>
      </c>
      <c r="G47" s="235">
        <v>0</v>
      </c>
      <c r="H47" s="235">
        <v>0</v>
      </c>
      <c r="I47" s="115" t="str">
        <f t="shared" si="2"/>
        <v xml:space="preserve">      Державний зовнішній борг; 1,939%; 17,99р.</v>
      </c>
      <c r="J47" s="117">
        <f t="shared" si="1"/>
        <v>4804338067.3800001</v>
      </c>
      <c r="K47" s="25"/>
      <c r="L47" s="25"/>
      <c r="M47" s="25"/>
      <c r="N47" s="25"/>
      <c r="O47" s="25"/>
      <c r="P47" s="25"/>
      <c r="Q47" s="25"/>
      <c r="R47" s="25"/>
    </row>
    <row r="48" spans="1:18" ht="15.5" x14ac:dyDescent="0.35">
      <c r="A48" s="235" t="s">
        <v>46</v>
      </c>
      <c r="B48" s="236">
        <v>1.7589999999999999</v>
      </c>
      <c r="C48" s="236">
        <v>17.86</v>
      </c>
      <c r="D48" s="236">
        <v>14.93</v>
      </c>
      <c r="E48" s="236">
        <v>631979376.5</v>
      </c>
      <c r="F48" s="235">
        <v>0</v>
      </c>
      <c r="G48" s="235">
        <v>0</v>
      </c>
      <c r="H48" s="235">
        <v>0</v>
      </c>
      <c r="I48" s="115" t="str">
        <f t="shared" si="2"/>
        <v xml:space="preserve">         в т.ч. ОЗДП; 1,759%; 17,86р.</v>
      </c>
      <c r="J48" s="117">
        <f t="shared" si="1"/>
        <v>631979376.5</v>
      </c>
      <c r="K48" s="25"/>
      <c r="L48" s="25"/>
      <c r="M48" s="25"/>
      <c r="N48" s="25"/>
      <c r="O48" s="25"/>
      <c r="P48" s="25"/>
      <c r="Q48" s="25"/>
      <c r="R48" s="25"/>
    </row>
    <row r="49" spans="1:18" ht="15.5" x14ac:dyDescent="0.35">
      <c r="A49" s="276" t="s">
        <v>47</v>
      </c>
      <c r="B49" s="277">
        <v>5.6349999999999998</v>
      </c>
      <c r="C49" s="277">
        <v>10.119999999999999</v>
      </c>
      <c r="D49" s="277">
        <v>4.87</v>
      </c>
      <c r="E49" s="277">
        <v>287241088.05000001</v>
      </c>
      <c r="F49" s="276">
        <v>0</v>
      </c>
      <c r="G49" s="276">
        <v>0</v>
      </c>
      <c r="H49" s="276">
        <v>2</v>
      </c>
      <c r="I49" s="115" t="str">
        <f t="shared" si="2"/>
        <v xml:space="preserve">   Гарантований борг; 5,635%; 10,12р.</v>
      </c>
      <c r="J49" s="117">
        <f t="shared" si="1"/>
        <v>287241088.05000001</v>
      </c>
      <c r="K49" s="25"/>
      <c r="L49" s="25"/>
      <c r="M49" s="25"/>
      <c r="N49" s="25"/>
      <c r="O49" s="25"/>
      <c r="P49" s="25"/>
      <c r="Q49" s="25"/>
      <c r="R49" s="25"/>
    </row>
    <row r="50" spans="1:18" ht="15.5" x14ac:dyDescent="0.35">
      <c r="A50" s="235" t="s">
        <v>48</v>
      </c>
      <c r="B50" s="236">
        <v>6.8609999999999998</v>
      </c>
      <c r="C50" s="236">
        <v>5.15</v>
      </c>
      <c r="D50" s="236">
        <v>4.53</v>
      </c>
      <c r="E50" s="236">
        <v>68666539.849999994</v>
      </c>
      <c r="F50" s="235">
        <v>1</v>
      </c>
      <c r="G50" s="235">
        <v>0</v>
      </c>
      <c r="H50" s="235">
        <v>0</v>
      </c>
      <c r="I50" s="115" t="str">
        <f t="shared" si="2"/>
        <v xml:space="preserve">      Гарантований внутрішній борг; 6,861%; 5,15р.</v>
      </c>
      <c r="J50" s="117">
        <f t="shared" si="1"/>
        <v>68666539.849999994</v>
      </c>
      <c r="K50" s="25"/>
      <c r="L50" s="25"/>
      <c r="M50" s="25"/>
      <c r="N50" s="25"/>
      <c r="O50" s="25"/>
      <c r="P50" s="25"/>
      <c r="Q50" s="25"/>
      <c r="R50" s="25"/>
    </row>
    <row r="51" spans="1:18" ht="15.5" x14ac:dyDescent="0.35">
      <c r="A51" s="235" t="s">
        <v>49</v>
      </c>
      <c r="B51" s="236">
        <v>7.6280000000000001</v>
      </c>
      <c r="C51" s="236">
        <v>3.95</v>
      </c>
      <c r="D51" s="236">
        <v>3.11</v>
      </c>
      <c r="E51" s="236">
        <v>4475011.5999999996</v>
      </c>
      <c r="F51" s="235">
        <v>0</v>
      </c>
      <c r="G51" s="235">
        <v>0</v>
      </c>
      <c r="H51" s="235">
        <v>0</v>
      </c>
      <c r="I51" s="115" t="str">
        <f t="shared" si="2"/>
        <v xml:space="preserve">         в т.ч. Облігації; 7,628%; 3,95р.</v>
      </c>
      <c r="J51" s="117">
        <f t="shared" si="1"/>
        <v>4475011.5999999996</v>
      </c>
      <c r="K51" s="25"/>
      <c r="L51" s="25"/>
      <c r="M51" s="25"/>
      <c r="N51" s="25"/>
      <c r="O51" s="25"/>
      <c r="P51" s="25"/>
      <c r="Q51" s="25"/>
      <c r="R51" s="25"/>
    </row>
    <row r="52" spans="1:18" ht="15.5" x14ac:dyDescent="0.35">
      <c r="A52" s="235" t="s">
        <v>50</v>
      </c>
      <c r="B52" s="236">
        <v>5.25</v>
      </c>
      <c r="C52" s="236">
        <v>13.16</v>
      </c>
      <c r="D52" s="236">
        <v>4.97</v>
      </c>
      <c r="E52" s="236">
        <v>218574548.19999999</v>
      </c>
      <c r="F52" s="235">
        <v>1</v>
      </c>
      <c r="G52" s="235">
        <v>0</v>
      </c>
      <c r="H52" s="235">
        <v>0</v>
      </c>
      <c r="I52" s="115" t="str">
        <f t="shared" si="2"/>
        <v xml:space="preserve">      Гарантований зовнішній борг; 5,25%; 13,16р.</v>
      </c>
      <c r="J52" s="117">
        <f t="shared" si="1"/>
        <v>218574548.19999999</v>
      </c>
      <c r="K52" s="25"/>
      <c r="L52" s="25"/>
      <c r="M52" s="25"/>
      <c r="N52" s="25"/>
      <c r="O52" s="25"/>
      <c r="P52" s="25"/>
      <c r="Q52" s="25"/>
      <c r="R52" s="25"/>
    </row>
    <row r="53" spans="1:18" ht="15.5" x14ac:dyDescent="0.35">
      <c r="A53" s="235" t="s">
        <v>46</v>
      </c>
      <c r="B53" s="236">
        <v>6.875</v>
      </c>
      <c r="C53" s="236">
        <v>7.09</v>
      </c>
      <c r="D53" s="236">
        <v>3.86</v>
      </c>
      <c r="E53" s="236">
        <v>34600747.5</v>
      </c>
      <c r="F53" s="235">
        <v>0</v>
      </c>
      <c r="G53" s="235">
        <v>0</v>
      </c>
      <c r="H53" s="235">
        <v>0</v>
      </c>
      <c r="I53" s="115" t="str">
        <f t="shared" si="2"/>
        <v xml:space="preserve">         в т.ч. ОЗДП; 6,875%; 7,09р.</v>
      </c>
      <c r="J53" s="117">
        <f t="shared" si="1"/>
        <v>34600747.5</v>
      </c>
      <c r="K53" s="25"/>
      <c r="L53" s="25"/>
      <c r="M53" s="25"/>
      <c r="N53" s="25"/>
      <c r="O53" s="25"/>
      <c r="P53" s="25"/>
      <c r="Q53" s="25"/>
      <c r="R53" s="25"/>
    </row>
    <row r="54" spans="1:18" x14ac:dyDescent="0.3">
      <c r="B54" s="24"/>
      <c r="C54" s="24"/>
      <c r="D54" s="24"/>
      <c r="E54" s="24"/>
      <c r="F54" s="25"/>
      <c r="G54" s="25"/>
      <c r="H54" s="25"/>
      <c r="I54" s="115"/>
      <c r="J54" s="117">
        <f t="shared" si="1"/>
        <v>0</v>
      </c>
      <c r="K54" s="25"/>
      <c r="L54" s="25"/>
      <c r="M54" s="25"/>
      <c r="N54" s="25"/>
      <c r="O54" s="25"/>
      <c r="P54" s="25"/>
      <c r="Q54" s="25"/>
      <c r="R54" s="25"/>
    </row>
    <row r="55" spans="1:18" x14ac:dyDescent="0.3">
      <c r="B55" s="24"/>
      <c r="C55" s="24"/>
      <c r="D55" s="24"/>
      <c r="E55" s="24"/>
      <c r="F55" s="25"/>
      <c r="G55" s="25"/>
      <c r="H55" s="25"/>
      <c r="I55" s="115"/>
      <c r="J55" s="117">
        <f t="shared" si="1"/>
        <v>0</v>
      </c>
      <c r="K55" s="25"/>
      <c r="L55" s="25"/>
      <c r="M55" s="25"/>
      <c r="N55" s="25"/>
      <c r="O55" s="25"/>
      <c r="P55" s="25"/>
      <c r="Q55" s="25"/>
      <c r="R55" s="25"/>
    </row>
    <row r="56" spans="1:18" x14ac:dyDescent="0.3">
      <c r="B56" s="24"/>
      <c r="C56" s="24"/>
      <c r="D56" s="24"/>
      <c r="E56" s="24"/>
      <c r="F56" s="25"/>
      <c r="G56" s="25"/>
      <c r="H56" s="25"/>
      <c r="I56" s="115"/>
      <c r="J56" s="117">
        <f t="shared" si="1"/>
        <v>0</v>
      </c>
      <c r="K56" s="25"/>
      <c r="L56" s="25"/>
      <c r="M56" s="25"/>
      <c r="N56" s="25"/>
      <c r="O56" s="25"/>
      <c r="P56" s="25"/>
      <c r="Q56" s="25"/>
      <c r="R56" s="25"/>
    </row>
    <row r="57" spans="1:18" x14ac:dyDescent="0.3">
      <c r="B57" s="24"/>
      <c r="C57" s="24"/>
      <c r="D57" s="24"/>
      <c r="E57" s="24"/>
      <c r="F57" s="25"/>
      <c r="G57" s="25"/>
      <c r="H57" s="25"/>
      <c r="I57" s="115"/>
      <c r="J57" s="117">
        <f t="shared" si="1"/>
        <v>0</v>
      </c>
      <c r="K57" s="25"/>
      <c r="L57" s="25"/>
      <c r="M57" s="25"/>
      <c r="N57" s="25"/>
      <c r="O57" s="25"/>
      <c r="P57" s="25"/>
      <c r="Q57" s="25"/>
      <c r="R57" s="25"/>
    </row>
    <row r="58" spans="1:18" x14ac:dyDescent="0.3">
      <c r="B58" s="24"/>
      <c r="C58" s="24"/>
      <c r="D58" s="24"/>
      <c r="E58" s="24"/>
      <c r="F58" s="25"/>
      <c r="G58" s="25"/>
      <c r="H58" s="25"/>
      <c r="I58" s="115"/>
      <c r="J58" s="117">
        <f t="shared" si="1"/>
        <v>0</v>
      </c>
      <c r="K58" s="25"/>
      <c r="L58" s="25"/>
      <c r="M58" s="25"/>
      <c r="N58" s="25"/>
      <c r="O58" s="25"/>
      <c r="P58" s="25"/>
      <c r="Q58" s="25"/>
      <c r="R58" s="25"/>
    </row>
    <row r="59" spans="1:18" x14ac:dyDescent="0.3">
      <c r="B59" s="24"/>
      <c r="C59" s="24"/>
      <c r="D59" s="24"/>
      <c r="E59" s="24"/>
      <c r="F59" s="25"/>
      <c r="G59" s="25"/>
      <c r="H59" s="25"/>
      <c r="I59" s="115"/>
      <c r="J59" s="117">
        <f t="shared" si="1"/>
        <v>0</v>
      </c>
      <c r="K59" s="25"/>
      <c r="L59" s="25"/>
      <c r="M59" s="25"/>
      <c r="N59" s="25"/>
      <c r="O59" s="25"/>
      <c r="P59" s="25"/>
      <c r="Q59" s="25"/>
      <c r="R59" s="25"/>
    </row>
    <row r="60" spans="1:18" x14ac:dyDescent="0.3">
      <c r="B60" s="24"/>
      <c r="C60" s="24"/>
      <c r="D60" s="24"/>
      <c r="E60" s="24"/>
      <c r="F60" s="25"/>
      <c r="G60" s="25"/>
      <c r="H60" s="25"/>
      <c r="I60" s="115"/>
      <c r="J60" s="117">
        <f t="shared" si="1"/>
        <v>0</v>
      </c>
      <c r="K60" s="25"/>
      <c r="L60" s="25"/>
      <c r="M60" s="25"/>
      <c r="N60" s="25"/>
      <c r="O60" s="25"/>
      <c r="P60" s="25"/>
      <c r="Q60" s="25"/>
      <c r="R60" s="25"/>
    </row>
    <row r="61" spans="1:18" x14ac:dyDescent="0.3">
      <c r="B61" s="24"/>
      <c r="C61" s="24"/>
      <c r="D61" s="24"/>
      <c r="E61" s="24"/>
      <c r="F61" s="25"/>
      <c r="G61" s="25"/>
      <c r="H61" s="25"/>
      <c r="I61" s="115"/>
      <c r="J61" s="117">
        <f t="shared" si="1"/>
        <v>0</v>
      </c>
      <c r="K61" s="25"/>
      <c r="L61" s="25"/>
      <c r="M61" s="25"/>
      <c r="N61" s="25"/>
      <c r="O61" s="25"/>
      <c r="P61" s="25"/>
      <c r="Q61" s="25"/>
      <c r="R61" s="25"/>
    </row>
    <row r="62" spans="1:18" x14ac:dyDescent="0.3">
      <c r="B62" s="24"/>
      <c r="C62" s="24"/>
      <c r="D62" s="24"/>
      <c r="E62" s="24"/>
      <c r="F62" s="25"/>
      <c r="G62" s="25"/>
      <c r="H62" s="25"/>
      <c r="I62" s="115"/>
      <c r="J62" s="115"/>
      <c r="K62" s="25"/>
      <c r="L62" s="25"/>
      <c r="M62" s="25"/>
      <c r="N62" s="25"/>
      <c r="O62" s="25"/>
      <c r="P62" s="25"/>
      <c r="Q62" s="25"/>
      <c r="R62" s="25"/>
    </row>
    <row r="63" spans="1:18" x14ac:dyDescent="0.3">
      <c r="B63" s="24"/>
      <c r="C63" s="24"/>
      <c r="D63" s="24"/>
      <c r="E63" s="24"/>
      <c r="F63" s="25"/>
      <c r="G63" s="25"/>
      <c r="H63" s="25"/>
      <c r="I63" s="115"/>
      <c r="J63" s="115"/>
      <c r="K63" s="25"/>
      <c r="L63" s="25"/>
      <c r="M63" s="25"/>
      <c r="N63" s="25"/>
      <c r="O63" s="25"/>
      <c r="P63" s="25"/>
      <c r="Q63" s="25"/>
      <c r="R63" s="25"/>
    </row>
    <row r="64" spans="1:18" x14ac:dyDescent="0.3">
      <c r="B64" s="24"/>
      <c r="C64" s="24"/>
      <c r="D64" s="24"/>
      <c r="E64" s="24"/>
      <c r="F64" s="25"/>
      <c r="G64" s="25"/>
      <c r="H64" s="25"/>
      <c r="I64" s="115"/>
      <c r="J64" s="115"/>
      <c r="K64" s="25"/>
      <c r="L64" s="25"/>
      <c r="M64" s="25"/>
      <c r="N64" s="25"/>
      <c r="O64" s="25"/>
      <c r="P64" s="25"/>
      <c r="Q64" s="25"/>
      <c r="R64" s="25"/>
    </row>
    <row r="65" spans="2:18" x14ac:dyDescent="0.3">
      <c r="B65" s="24"/>
      <c r="C65" s="24"/>
      <c r="D65" s="24"/>
      <c r="E65" s="24"/>
      <c r="F65" s="25"/>
      <c r="G65" s="25"/>
      <c r="H65" s="25"/>
      <c r="I65" s="115"/>
      <c r="J65" s="115"/>
      <c r="K65" s="25"/>
      <c r="L65" s="25"/>
      <c r="M65" s="25"/>
      <c r="N65" s="25"/>
      <c r="O65" s="25"/>
      <c r="P65" s="25"/>
      <c r="Q65" s="25"/>
      <c r="R65" s="25"/>
    </row>
    <row r="66" spans="2:18" x14ac:dyDescent="0.3">
      <c r="B66" s="24"/>
      <c r="C66" s="24"/>
      <c r="D66" s="24"/>
      <c r="E66" s="24"/>
      <c r="F66" s="25"/>
      <c r="G66" s="25"/>
      <c r="H66" s="25"/>
      <c r="I66" s="115"/>
      <c r="J66" s="115"/>
      <c r="K66" s="25"/>
      <c r="L66" s="25"/>
      <c r="M66" s="25"/>
      <c r="N66" s="25"/>
      <c r="O66" s="25"/>
      <c r="P66" s="25"/>
      <c r="Q66" s="25"/>
      <c r="R66" s="25"/>
    </row>
    <row r="67" spans="2:18" x14ac:dyDescent="0.3">
      <c r="B67" s="24"/>
      <c r="C67" s="24"/>
      <c r="D67" s="24"/>
      <c r="E67" s="24"/>
      <c r="F67" s="25"/>
      <c r="G67" s="25"/>
      <c r="H67" s="25"/>
      <c r="I67" s="115"/>
      <c r="J67" s="115"/>
      <c r="K67" s="25"/>
      <c r="L67" s="25"/>
      <c r="M67" s="25"/>
      <c r="N67" s="25"/>
      <c r="O67" s="25"/>
      <c r="P67" s="25"/>
      <c r="Q67" s="25"/>
      <c r="R67" s="25"/>
    </row>
    <row r="68" spans="2:18" x14ac:dyDescent="0.3">
      <c r="B68" s="24"/>
      <c r="C68" s="24"/>
      <c r="D68" s="24"/>
      <c r="E68" s="24"/>
      <c r="F68" s="25"/>
      <c r="G68" s="25"/>
      <c r="H68" s="25"/>
      <c r="I68" s="115"/>
      <c r="J68" s="115"/>
      <c r="K68" s="25"/>
      <c r="L68" s="25"/>
      <c r="M68" s="25"/>
      <c r="N68" s="25"/>
      <c r="O68" s="25"/>
      <c r="P68" s="25"/>
      <c r="Q68" s="25"/>
      <c r="R68" s="25"/>
    </row>
    <row r="69" spans="2:18" x14ac:dyDescent="0.3">
      <c r="B69" s="24"/>
      <c r="C69" s="24"/>
      <c r="D69" s="24"/>
      <c r="E69" s="24"/>
      <c r="F69" s="25"/>
      <c r="G69" s="25"/>
      <c r="H69" s="25"/>
      <c r="I69" s="115"/>
      <c r="J69" s="115"/>
      <c r="K69" s="25"/>
      <c r="L69" s="25"/>
      <c r="M69" s="25"/>
      <c r="N69" s="25"/>
      <c r="O69" s="25"/>
      <c r="P69" s="25"/>
      <c r="Q69" s="25"/>
      <c r="R69" s="25"/>
    </row>
    <row r="70" spans="2:18" x14ac:dyDescent="0.3">
      <c r="B70" s="24"/>
      <c r="C70" s="24"/>
      <c r="D70" s="24"/>
      <c r="E70" s="24"/>
      <c r="F70" s="25"/>
      <c r="G70" s="25"/>
      <c r="H70" s="25"/>
      <c r="I70" s="115"/>
      <c r="J70" s="115"/>
      <c r="K70" s="25"/>
      <c r="L70" s="25"/>
      <c r="M70" s="25"/>
      <c r="N70" s="25"/>
      <c r="O70" s="25"/>
      <c r="P70" s="25"/>
      <c r="Q70" s="25"/>
      <c r="R70" s="25"/>
    </row>
    <row r="71" spans="2:18" x14ac:dyDescent="0.3">
      <c r="B71" s="24"/>
      <c r="C71" s="24"/>
      <c r="D71" s="24"/>
      <c r="E71" s="24"/>
      <c r="F71" s="25"/>
      <c r="G71" s="25"/>
      <c r="H71" s="25"/>
      <c r="I71" s="115"/>
      <c r="J71" s="115"/>
      <c r="K71" s="25"/>
      <c r="L71" s="25"/>
      <c r="M71" s="25"/>
      <c r="N71" s="25"/>
      <c r="O71" s="25"/>
      <c r="P71" s="25"/>
      <c r="Q71" s="25"/>
      <c r="R71" s="25"/>
    </row>
    <row r="72" spans="2:18" x14ac:dyDescent="0.3">
      <c r="B72" s="24"/>
      <c r="C72" s="24"/>
      <c r="D72" s="24"/>
      <c r="E72" s="24"/>
      <c r="F72" s="25"/>
      <c r="G72" s="25"/>
      <c r="H72" s="25"/>
      <c r="I72" s="115"/>
      <c r="J72" s="115"/>
      <c r="K72" s="25"/>
      <c r="L72" s="25"/>
      <c r="M72" s="25"/>
      <c r="N72" s="25"/>
      <c r="O72" s="25"/>
      <c r="P72" s="25"/>
      <c r="Q72" s="25"/>
      <c r="R72" s="25"/>
    </row>
    <row r="73" spans="2:18" x14ac:dyDescent="0.3">
      <c r="B73" s="24"/>
      <c r="C73" s="24"/>
      <c r="D73" s="24"/>
      <c r="E73" s="24"/>
      <c r="F73" s="25"/>
      <c r="G73" s="25"/>
      <c r="H73" s="25"/>
      <c r="I73" s="115"/>
      <c r="J73" s="115"/>
      <c r="K73" s="25"/>
      <c r="L73" s="25"/>
      <c r="M73" s="25"/>
      <c r="N73" s="25"/>
      <c r="O73" s="25"/>
      <c r="P73" s="25"/>
      <c r="Q73" s="25"/>
      <c r="R73" s="25"/>
    </row>
    <row r="74" spans="2:18" x14ac:dyDescent="0.3">
      <c r="B74" s="24"/>
      <c r="C74" s="24"/>
      <c r="D74" s="24"/>
      <c r="E74" s="24"/>
      <c r="F74" s="25"/>
      <c r="G74" s="25"/>
      <c r="H74" s="25"/>
      <c r="I74" s="115"/>
      <c r="J74" s="115"/>
      <c r="K74" s="25"/>
      <c r="L74" s="25"/>
      <c r="M74" s="25"/>
      <c r="N74" s="25"/>
      <c r="O74" s="25"/>
      <c r="P74" s="25"/>
      <c r="Q74" s="25"/>
      <c r="R74" s="25"/>
    </row>
    <row r="75" spans="2:18" x14ac:dyDescent="0.3">
      <c r="B75" s="24"/>
      <c r="C75" s="24"/>
      <c r="D75" s="24"/>
      <c r="E75" s="24"/>
      <c r="F75" s="25"/>
      <c r="G75" s="25"/>
      <c r="H75" s="25"/>
      <c r="I75" s="115"/>
      <c r="J75" s="115"/>
      <c r="K75" s="25"/>
      <c r="L75" s="25"/>
      <c r="M75" s="25"/>
      <c r="N75" s="25"/>
      <c r="O75" s="25"/>
      <c r="P75" s="25"/>
      <c r="Q75" s="25"/>
      <c r="R75" s="25"/>
    </row>
    <row r="76" spans="2:18" x14ac:dyDescent="0.3">
      <c r="B76" s="24"/>
      <c r="C76" s="24"/>
      <c r="D76" s="24"/>
      <c r="E76" s="24"/>
      <c r="F76" s="25"/>
      <c r="G76" s="25"/>
      <c r="H76" s="25"/>
      <c r="I76" s="115"/>
      <c r="J76" s="115"/>
      <c r="K76" s="25"/>
      <c r="L76" s="25"/>
      <c r="M76" s="25"/>
      <c r="N76" s="25"/>
      <c r="O76" s="25"/>
      <c r="P76" s="25"/>
      <c r="Q76" s="25"/>
      <c r="R76" s="25"/>
    </row>
    <row r="77" spans="2:18" x14ac:dyDescent="0.3">
      <c r="B77" s="24"/>
      <c r="C77" s="24"/>
      <c r="D77" s="24"/>
      <c r="E77" s="24"/>
      <c r="F77" s="25"/>
      <c r="G77" s="25"/>
      <c r="H77" s="25"/>
      <c r="I77" s="115"/>
      <c r="J77" s="115"/>
      <c r="K77" s="25"/>
      <c r="L77" s="25"/>
      <c r="M77" s="25"/>
      <c r="N77" s="25"/>
      <c r="O77" s="25"/>
      <c r="P77" s="25"/>
      <c r="Q77" s="25"/>
      <c r="R77" s="25"/>
    </row>
    <row r="78" spans="2:18" x14ac:dyDescent="0.3">
      <c r="B78" s="24"/>
      <c r="C78" s="24"/>
      <c r="D78" s="24"/>
      <c r="E78" s="24"/>
      <c r="F78" s="25"/>
      <c r="G78" s="25"/>
      <c r="H78" s="25"/>
      <c r="I78" s="115"/>
      <c r="J78" s="115"/>
      <c r="K78" s="25"/>
      <c r="L78" s="25"/>
      <c r="M78" s="25"/>
      <c r="N78" s="25"/>
      <c r="O78" s="25"/>
      <c r="P78" s="25"/>
      <c r="Q78" s="25"/>
      <c r="R78" s="25"/>
    </row>
    <row r="79" spans="2:18" x14ac:dyDescent="0.3">
      <c r="B79" s="24"/>
      <c r="C79" s="24"/>
      <c r="D79" s="24"/>
      <c r="E79" s="24"/>
      <c r="F79" s="25"/>
      <c r="G79" s="25"/>
      <c r="H79" s="25"/>
      <c r="I79" s="115"/>
      <c r="J79" s="115"/>
      <c r="K79" s="25"/>
      <c r="L79" s="25"/>
      <c r="M79" s="25"/>
      <c r="N79" s="25"/>
      <c r="O79" s="25"/>
      <c r="P79" s="25"/>
      <c r="Q79" s="25"/>
      <c r="R79" s="25"/>
    </row>
    <row r="80" spans="2:18" x14ac:dyDescent="0.3">
      <c r="B80" s="24"/>
      <c r="C80" s="24"/>
      <c r="D80" s="24"/>
      <c r="E80" s="24"/>
      <c r="F80" s="25"/>
      <c r="G80" s="25"/>
      <c r="H80" s="25"/>
      <c r="I80" s="115"/>
      <c r="J80" s="115"/>
      <c r="K80" s="25"/>
      <c r="L80" s="25"/>
      <c r="M80" s="25"/>
      <c r="N80" s="25"/>
      <c r="O80" s="25"/>
      <c r="P80" s="25"/>
      <c r="Q80" s="25"/>
      <c r="R80" s="25"/>
    </row>
    <row r="81" spans="2:18" x14ac:dyDescent="0.3">
      <c r="B81" s="24"/>
      <c r="C81" s="24"/>
      <c r="D81" s="24"/>
      <c r="E81" s="24"/>
      <c r="F81" s="25"/>
      <c r="G81" s="25"/>
      <c r="H81" s="25"/>
      <c r="I81" s="115"/>
      <c r="J81" s="115"/>
      <c r="K81" s="25"/>
      <c r="L81" s="25"/>
      <c r="M81" s="25"/>
      <c r="N81" s="25"/>
      <c r="O81" s="25"/>
      <c r="P81" s="25"/>
      <c r="Q81" s="25"/>
      <c r="R81" s="25"/>
    </row>
    <row r="82" spans="2:18" x14ac:dyDescent="0.3">
      <c r="B82" s="24"/>
      <c r="C82" s="24"/>
      <c r="D82" s="24"/>
      <c r="E82" s="24"/>
      <c r="F82" s="25"/>
      <c r="G82" s="25"/>
      <c r="H82" s="25"/>
      <c r="I82" s="115"/>
      <c r="J82" s="115"/>
      <c r="K82" s="25"/>
      <c r="L82" s="25"/>
      <c r="M82" s="25"/>
      <c r="N82" s="25"/>
      <c r="O82" s="25"/>
      <c r="P82" s="25"/>
      <c r="Q82" s="25"/>
      <c r="R82" s="25"/>
    </row>
    <row r="83" spans="2:18" x14ac:dyDescent="0.3">
      <c r="B83" s="24"/>
      <c r="C83" s="24"/>
      <c r="D83" s="24"/>
      <c r="E83" s="24"/>
      <c r="F83" s="25"/>
      <c r="G83" s="25"/>
      <c r="H83" s="25"/>
      <c r="I83" s="115"/>
      <c r="J83" s="115"/>
      <c r="K83" s="25"/>
      <c r="L83" s="25"/>
      <c r="M83" s="25"/>
      <c r="N83" s="25"/>
      <c r="O83" s="25"/>
      <c r="P83" s="25"/>
      <c r="Q83" s="25"/>
      <c r="R83" s="25"/>
    </row>
    <row r="84" spans="2:18" x14ac:dyDescent="0.3">
      <c r="B84" s="24"/>
      <c r="C84" s="24"/>
      <c r="D84" s="24"/>
      <c r="E84" s="24"/>
      <c r="F84" s="25"/>
      <c r="G84" s="25"/>
      <c r="H84" s="25"/>
      <c r="I84" s="115"/>
      <c r="J84" s="115"/>
      <c r="K84" s="25"/>
      <c r="L84" s="25"/>
      <c r="M84" s="25"/>
      <c r="N84" s="25"/>
      <c r="O84" s="25"/>
      <c r="P84" s="25"/>
      <c r="Q84" s="25"/>
      <c r="R84" s="25"/>
    </row>
    <row r="85" spans="2:18" x14ac:dyDescent="0.3">
      <c r="B85" s="24"/>
      <c r="C85" s="24"/>
      <c r="D85" s="24"/>
      <c r="E85" s="24"/>
      <c r="F85" s="25"/>
      <c r="G85" s="25"/>
      <c r="H85" s="25"/>
      <c r="I85" s="115"/>
      <c r="J85" s="115"/>
      <c r="K85" s="25"/>
      <c r="L85" s="25"/>
      <c r="M85" s="25"/>
      <c r="N85" s="25"/>
      <c r="O85" s="25"/>
      <c r="P85" s="25"/>
      <c r="Q85" s="25"/>
      <c r="R85" s="25"/>
    </row>
    <row r="86" spans="2:18" x14ac:dyDescent="0.3">
      <c r="B86" s="24"/>
      <c r="C86" s="24"/>
      <c r="D86" s="24"/>
      <c r="E86" s="24"/>
      <c r="F86" s="25"/>
      <c r="G86" s="25"/>
      <c r="H86" s="25"/>
      <c r="I86" s="115"/>
      <c r="J86" s="115"/>
      <c r="K86" s="25"/>
      <c r="L86" s="25"/>
      <c r="M86" s="25"/>
      <c r="N86" s="25"/>
      <c r="O86" s="25"/>
      <c r="P86" s="25"/>
      <c r="Q86" s="25"/>
      <c r="R86" s="25"/>
    </row>
    <row r="87" spans="2:18" x14ac:dyDescent="0.3">
      <c r="B87" s="24"/>
      <c r="C87" s="24"/>
      <c r="D87" s="24"/>
      <c r="E87" s="24"/>
      <c r="F87" s="25"/>
      <c r="G87" s="25"/>
      <c r="H87" s="25"/>
      <c r="I87" s="115"/>
      <c r="J87" s="115"/>
      <c r="K87" s="25"/>
      <c r="L87" s="25"/>
      <c r="M87" s="25"/>
      <c r="N87" s="25"/>
      <c r="O87" s="25"/>
      <c r="P87" s="25"/>
      <c r="Q87" s="25"/>
      <c r="R87" s="25"/>
    </row>
    <row r="88" spans="2:18" x14ac:dyDescent="0.3">
      <c r="B88" s="24"/>
      <c r="C88" s="24"/>
      <c r="D88" s="24"/>
      <c r="E88" s="24"/>
      <c r="F88" s="25"/>
      <c r="G88" s="25"/>
      <c r="H88" s="25"/>
      <c r="I88" s="115"/>
      <c r="J88" s="115"/>
      <c r="K88" s="25"/>
      <c r="L88" s="25"/>
      <c r="M88" s="25"/>
      <c r="N88" s="25"/>
      <c r="O88" s="25"/>
      <c r="P88" s="25"/>
      <c r="Q88" s="25"/>
      <c r="R88" s="25"/>
    </row>
    <row r="89" spans="2:18" x14ac:dyDescent="0.3">
      <c r="B89" s="24"/>
      <c r="C89" s="24"/>
      <c r="D89" s="24"/>
      <c r="E89" s="24"/>
      <c r="F89" s="25"/>
      <c r="G89" s="25"/>
      <c r="H89" s="25"/>
      <c r="I89" s="115"/>
      <c r="J89" s="115"/>
      <c r="K89" s="25"/>
      <c r="L89" s="25"/>
      <c r="M89" s="25"/>
      <c r="N89" s="25"/>
      <c r="O89" s="25"/>
      <c r="P89" s="25"/>
      <c r="Q89" s="25"/>
      <c r="R89" s="25"/>
    </row>
    <row r="90" spans="2:18" x14ac:dyDescent="0.3">
      <c r="B90" s="24"/>
      <c r="C90" s="24"/>
      <c r="D90" s="24"/>
      <c r="E90" s="24"/>
      <c r="F90" s="25"/>
      <c r="G90" s="25"/>
      <c r="H90" s="25"/>
      <c r="I90" s="115"/>
      <c r="J90" s="115"/>
      <c r="K90" s="25"/>
      <c r="L90" s="25"/>
      <c r="M90" s="25"/>
      <c r="N90" s="25"/>
      <c r="O90" s="25"/>
      <c r="P90" s="25"/>
      <c r="Q90" s="25"/>
      <c r="R90" s="25"/>
    </row>
    <row r="91" spans="2:18" x14ac:dyDescent="0.3">
      <c r="B91" s="24"/>
      <c r="C91" s="24"/>
      <c r="D91" s="24"/>
      <c r="E91" s="24"/>
      <c r="F91" s="25"/>
      <c r="G91" s="25"/>
      <c r="H91" s="25"/>
      <c r="I91" s="115"/>
      <c r="J91" s="115"/>
      <c r="K91" s="25"/>
      <c r="L91" s="25"/>
      <c r="M91" s="25"/>
      <c r="N91" s="25"/>
      <c r="O91" s="25"/>
      <c r="P91" s="25"/>
      <c r="Q91" s="25"/>
      <c r="R91" s="25"/>
    </row>
    <row r="92" spans="2:18" x14ac:dyDescent="0.3">
      <c r="B92" s="24"/>
      <c r="C92" s="24"/>
      <c r="D92" s="24"/>
      <c r="E92" s="24"/>
      <c r="F92" s="25"/>
      <c r="G92" s="25"/>
      <c r="H92" s="25"/>
      <c r="I92" s="115"/>
      <c r="J92" s="115"/>
      <c r="K92" s="25"/>
      <c r="L92" s="25"/>
      <c r="M92" s="25"/>
      <c r="N92" s="25"/>
      <c r="O92" s="25"/>
      <c r="P92" s="25"/>
      <c r="Q92" s="25"/>
      <c r="R92" s="25"/>
    </row>
    <row r="93" spans="2:18" x14ac:dyDescent="0.3">
      <c r="B93" s="24"/>
      <c r="C93" s="24"/>
      <c r="D93" s="24"/>
      <c r="E93" s="24"/>
      <c r="F93" s="25"/>
      <c r="G93" s="25"/>
      <c r="H93" s="25"/>
      <c r="I93" s="115"/>
      <c r="J93" s="115"/>
      <c r="K93" s="25"/>
      <c r="L93" s="25"/>
      <c r="M93" s="25"/>
      <c r="N93" s="25"/>
      <c r="O93" s="25"/>
      <c r="P93" s="25"/>
      <c r="Q93" s="25"/>
      <c r="R93" s="25"/>
    </row>
    <row r="94" spans="2:18" x14ac:dyDescent="0.3">
      <c r="B94" s="24"/>
      <c r="C94" s="24"/>
      <c r="D94" s="24"/>
      <c r="E94" s="24"/>
      <c r="F94" s="25"/>
      <c r="G94" s="25"/>
      <c r="H94" s="25"/>
      <c r="I94" s="115"/>
      <c r="J94" s="115"/>
      <c r="K94" s="25"/>
      <c r="L94" s="25"/>
      <c r="M94" s="25"/>
      <c r="N94" s="25"/>
      <c r="O94" s="25"/>
      <c r="P94" s="25"/>
      <c r="Q94" s="25"/>
      <c r="R94" s="25"/>
    </row>
    <row r="95" spans="2:18" x14ac:dyDescent="0.3">
      <c r="B95" s="24"/>
      <c r="C95" s="24"/>
      <c r="D95" s="24"/>
      <c r="E95" s="24"/>
      <c r="F95" s="25"/>
      <c r="G95" s="25"/>
      <c r="H95" s="25"/>
      <c r="I95" s="115"/>
      <c r="J95" s="115"/>
      <c r="K95" s="25"/>
      <c r="L95" s="25"/>
      <c r="M95" s="25"/>
      <c r="N95" s="25"/>
      <c r="O95" s="25"/>
      <c r="P95" s="25"/>
      <c r="Q95" s="25"/>
      <c r="R95" s="25"/>
    </row>
    <row r="96" spans="2:18" x14ac:dyDescent="0.3">
      <c r="B96" s="24"/>
      <c r="C96" s="24"/>
      <c r="D96" s="24"/>
      <c r="E96" s="24"/>
      <c r="F96" s="25"/>
      <c r="G96" s="25"/>
      <c r="H96" s="25"/>
      <c r="I96" s="115"/>
      <c r="J96" s="115"/>
      <c r="K96" s="25"/>
      <c r="L96" s="25"/>
      <c r="M96" s="25"/>
      <c r="N96" s="25"/>
      <c r="O96" s="25"/>
      <c r="P96" s="25"/>
      <c r="Q96" s="25"/>
      <c r="R96" s="25"/>
    </row>
    <row r="97" spans="2:18" x14ac:dyDescent="0.3">
      <c r="B97" s="24"/>
      <c r="C97" s="24"/>
      <c r="D97" s="24"/>
      <c r="E97" s="24"/>
      <c r="F97" s="25"/>
      <c r="G97" s="25"/>
      <c r="H97" s="25"/>
      <c r="I97" s="115"/>
      <c r="J97" s="115"/>
      <c r="K97" s="25"/>
      <c r="L97" s="25"/>
      <c r="M97" s="25"/>
      <c r="N97" s="25"/>
      <c r="O97" s="25"/>
      <c r="P97" s="25"/>
      <c r="Q97" s="25"/>
      <c r="R97" s="25"/>
    </row>
    <row r="98" spans="2:18" x14ac:dyDescent="0.3">
      <c r="B98" s="24"/>
      <c r="C98" s="24"/>
      <c r="D98" s="24"/>
      <c r="E98" s="24"/>
      <c r="F98" s="25"/>
      <c r="G98" s="25"/>
      <c r="H98" s="25"/>
      <c r="I98" s="115"/>
      <c r="J98" s="115"/>
      <c r="K98" s="25"/>
      <c r="L98" s="25"/>
      <c r="M98" s="25"/>
      <c r="N98" s="25"/>
      <c r="O98" s="25"/>
      <c r="P98" s="25"/>
      <c r="Q98" s="25"/>
      <c r="R98" s="25"/>
    </row>
    <row r="99" spans="2:18" x14ac:dyDescent="0.3">
      <c r="B99" s="24"/>
      <c r="C99" s="24"/>
      <c r="D99" s="24"/>
      <c r="E99" s="24"/>
      <c r="F99" s="25"/>
      <c r="G99" s="25"/>
      <c r="H99" s="25"/>
      <c r="I99" s="115"/>
      <c r="J99" s="115"/>
      <c r="K99" s="25"/>
      <c r="L99" s="25"/>
      <c r="M99" s="25"/>
      <c r="N99" s="25"/>
      <c r="O99" s="25"/>
      <c r="P99" s="25"/>
      <c r="Q99" s="25"/>
      <c r="R99" s="25"/>
    </row>
    <row r="100" spans="2:18" x14ac:dyDescent="0.3">
      <c r="B100" s="24"/>
      <c r="C100" s="24"/>
      <c r="D100" s="24"/>
      <c r="E100" s="24"/>
      <c r="F100" s="25"/>
      <c r="G100" s="25"/>
      <c r="H100" s="25"/>
      <c r="I100" s="115"/>
      <c r="J100" s="115"/>
      <c r="K100" s="25"/>
      <c r="L100" s="25"/>
      <c r="M100" s="25"/>
      <c r="N100" s="25"/>
      <c r="O100" s="25"/>
      <c r="P100" s="25"/>
      <c r="Q100" s="25"/>
      <c r="R100" s="25"/>
    </row>
    <row r="101" spans="2:18" x14ac:dyDescent="0.3">
      <c r="B101" s="24"/>
      <c r="C101" s="24"/>
      <c r="D101" s="24"/>
      <c r="E101" s="24"/>
      <c r="F101" s="25"/>
      <c r="G101" s="25"/>
      <c r="H101" s="25"/>
      <c r="I101" s="115"/>
      <c r="J101" s="115"/>
      <c r="K101" s="25"/>
      <c r="L101" s="25"/>
      <c r="M101" s="25"/>
      <c r="N101" s="25"/>
      <c r="O101" s="25"/>
      <c r="P101" s="25"/>
      <c r="Q101" s="25"/>
      <c r="R101" s="25"/>
    </row>
    <row r="102" spans="2:18" x14ac:dyDescent="0.3">
      <c r="B102" s="24"/>
      <c r="C102" s="24"/>
      <c r="D102" s="24"/>
      <c r="E102" s="24"/>
      <c r="F102" s="25"/>
      <c r="G102" s="25"/>
      <c r="H102" s="25"/>
      <c r="I102" s="115"/>
      <c r="J102" s="115"/>
      <c r="K102" s="25"/>
      <c r="L102" s="25"/>
      <c r="M102" s="25"/>
      <c r="N102" s="25"/>
      <c r="O102" s="25"/>
      <c r="P102" s="25"/>
      <c r="Q102" s="25"/>
      <c r="R102" s="25"/>
    </row>
    <row r="103" spans="2:18" x14ac:dyDescent="0.3">
      <c r="B103" s="24"/>
      <c r="C103" s="24"/>
      <c r="D103" s="24"/>
      <c r="E103" s="24"/>
      <c r="F103" s="25"/>
      <c r="G103" s="25"/>
      <c r="H103" s="25"/>
      <c r="I103" s="115"/>
      <c r="J103" s="115"/>
      <c r="K103" s="25"/>
      <c r="L103" s="25"/>
      <c r="M103" s="25"/>
      <c r="N103" s="25"/>
      <c r="O103" s="25"/>
      <c r="P103" s="25"/>
      <c r="Q103" s="25"/>
      <c r="R103" s="25"/>
    </row>
    <row r="104" spans="2:18" x14ac:dyDescent="0.3">
      <c r="B104" s="24"/>
      <c r="C104" s="24"/>
      <c r="D104" s="24"/>
      <c r="E104" s="24"/>
      <c r="F104" s="25"/>
      <c r="G104" s="25"/>
      <c r="H104" s="25"/>
      <c r="I104" s="115"/>
      <c r="J104" s="115"/>
      <c r="K104" s="25"/>
      <c r="L104" s="25"/>
      <c r="M104" s="25"/>
      <c r="N104" s="25"/>
      <c r="O104" s="25"/>
      <c r="P104" s="25"/>
      <c r="Q104" s="25"/>
      <c r="R104" s="25"/>
    </row>
    <row r="105" spans="2:18" x14ac:dyDescent="0.3">
      <c r="B105" s="24"/>
      <c r="C105" s="24"/>
      <c r="D105" s="24"/>
      <c r="E105" s="24"/>
      <c r="F105" s="25"/>
      <c r="G105" s="25"/>
      <c r="H105" s="25"/>
      <c r="I105" s="115"/>
      <c r="J105" s="115"/>
      <c r="K105" s="25"/>
      <c r="L105" s="25"/>
      <c r="M105" s="25"/>
      <c r="N105" s="25"/>
      <c r="O105" s="25"/>
      <c r="P105" s="25"/>
      <c r="Q105" s="25"/>
      <c r="R105" s="25"/>
    </row>
    <row r="106" spans="2:18" x14ac:dyDescent="0.3">
      <c r="B106" s="24"/>
      <c r="C106" s="24"/>
      <c r="D106" s="24"/>
      <c r="E106" s="24"/>
      <c r="F106" s="25"/>
      <c r="G106" s="25"/>
      <c r="H106" s="25"/>
      <c r="I106" s="115"/>
      <c r="J106" s="115"/>
      <c r="K106" s="25"/>
      <c r="L106" s="25"/>
      <c r="M106" s="25"/>
      <c r="N106" s="25"/>
      <c r="O106" s="25"/>
      <c r="P106" s="25"/>
      <c r="Q106" s="25"/>
      <c r="R106" s="25"/>
    </row>
    <row r="107" spans="2:18" x14ac:dyDescent="0.3">
      <c r="B107" s="24"/>
      <c r="C107" s="24"/>
      <c r="D107" s="24"/>
      <c r="E107" s="24"/>
      <c r="F107" s="25"/>
      <c r="G107" s="25"/>
      <c r="H107" s="25"/>
      <c r="I107" s="115"/>
      <c r="J107" s="115"/>
      <c r="K107" s="25"/>
      <c r="L107" s="25"/>
      <c r="M107" s="25"/>
      <c r="N107" s="25"/>
      <c r="O107" s="25"/>
      <c r="P107" s="25"/>
      <c r="Q107" s="25"/>
      <c r="R107" s="25"/>
    </row>
    <row r="108" spans="2:18" x14ac:dyDescent="0.3">
      <c r="B108" s="24"/>
      <c r="C108" s="24"/>
      <c r="D108" s="24"/>
      <c r="E108" s="24"/>
      <c r="F108" s="25"/>
      <c r="G108" s="25"/>
      <c r="H108" s="25"/>
      <c r="I108" s="115"/>
      <c r="J108" s="115"/>
      <c r="K108" s="25"/>
      <c r="L108" s="25"/>
      <c r="M108" s="25"/>
      <c r="N108" s="25"/>
      <c r="O108" s="25"/>
      <c r="P108" s="25"/>
      <c r="Q108" s="25"/>
      <c r="R108" s="25"/>
    </row>
    <row r="109" spans="2:18" x14ac:dyDescent="0.3">
      <c r="B109" s="24"/>
      <c r="C109" s="24"/>
      <c r="D109" s="24"/>
      <c r="E109" s="24"/>
      <c r="F109" s="25"/>
      <c r="G109" s="25"/>
      <c r="H109" s="25"/>
      <c r="I109" s="115"/>
      <c r="J109" s="115"/>
      <c r="K109" s="25"/>
      <c r="L109" s="25"/>
      <c r="M109" s="25"/>
      <c r="N109" s="25"/>
      <c r="O109" s="25"/>
      <c r="P109" s="25"/>
      <c r="Q109" s="25"/>
      <c r="R109" s="25"/>
    </row>
    <row r="110" spans="2:18" x14ac:dyDescent="0.3">
      <c r="B110" s="24"/>
      <c r="C110" s="24"/>
      <c r="D110" s="24"/>
      <c r="E110" s="24"/>
      <c r="F110" s="25"/>
      <c r="G110" s="25"/>
      <c r="H110" s="25"/>
      <c r="I110" s="115"/>
      <c r="J110" s="115"/>
      <c r="K110" s="25"/>
      <c r="L110" s="25"/>
      <c r="M110" s="25"/>
      <c r="N110" s="25"/>
      <c r="O110" s="25"/>
      <c r="P110" s="25"/>
      <c r="Q110" s="25"/>
      <c r="R110" s="25"/>
    </row>
    <row r="111" spans="2:18" x14ac:dyDescent="0.3">
      <c r="B111" s="24"/>
      <c r="C111" s="24"/>
      <c r="D111" s="24"/>
      <c r="E111" s="24"/>
      <c r="F111" s="25"/>
      <c r="G111" s="25"/>
      <c r="H111" s="25"/>
      <c r="I111" s="115"/>
      <c r="J111" s="115"/>
      <c r="K111" s="25"/>
      <c r="L111" s="25"/>
      <c r="M111" s="25"/>
      <c r="N111" s="25"/>
      <c r="O111" s="25"/>
      <c r="P111" s="25"/>
      <c r="Q111" s="25"/>
      <c r="R111" s="25"/>
    </row>
    <row r="112" spans="2:18" x14ac:dyDescent="0.3">
      <c r="B112" s="24"/>
      <c r="C112" s="24"/>
      <c r="D112" s="24"/>
      <c r="E112" s="24"/>
      <c r="F112" s="25"/>
      <c r="G112" s="25"/>
      <c r="H112" s="25"/>
      <c r="I112" s="115"/>
      <c r="J112" s="115"/>
      <c r="K112" s="25"/>
      <c r="L112" s="25"/>
      <c r="M112" s="25"/>
      <c r="N112" s="25"/>
      <c r="O112" s="25"/>
      <c r="P112" s="25"/>
      <c r="Q112" s="25"/>
      <c r="R112" s="25"/>
    </row>
    <row r="113" spans="2:18" x14ac:dyDescent="0.3">
      <c r="B113" s="24"/>
      <c r="C113" s="24"/>
      <c r="D113" s="24"/>
      <c r="E113" s="24"/>
      <c r="F113" s="25"/>
      <c r="G113" s="25"/>
      <c r="H113" s="25"/>
      <c r="I113" s="115"/>
      <c r="J113" s="115"/>
      <c r="K113" s="25"/>
      <c r="L113" s="25"/>
      <c r="M113" s="25"/>
      <c r="N113" s="25"/>
      <c r="O113" s="25"/>
      <c r="P113" s="25"/>
      <c r="Q113" s="25"/>
      <c r="R113" s="25"/>
    </row>
    <row r="114" spans="2:18" x14ac:dyDescent="0.3">
      <c r="B114" s="24"/>
      <c r="C114" s="24"/>
      <c r="D114" s="24"/>
      <c r="E114" s="24"/>
      <c r="F114" s="25"/>
      <c r="G114" s="25"/>
      <c r="H114" s="25"/>
      <c r="I114" s="115"/>
      <c r="J114" s="115"/>
      <c r="K114" s="25"/>
      <c r="L114" s="25"/>
      <c r="M114" s="25"/>
      <c r="N114" s="25"/>
      <c r="O114" s="25"/>
      <c r="P114" s="25"/>
      <c r="Q114" s="25"/>
      <c r="R114" s="25"/>
    </row>
    <row r="115" spans="2:18" x14ac:dyDescent="0.3">
      <c r="B115" s="24"/>
      <c r="C115" s="24"/>
      <c r="D115" s="24"/>
      <c r="E115" s="24"/>
      <c r="F115" s="25"/>
      <c r="G115" s="25"/>
      <c r="H115" s="25"/>
      <c r="I115" s="115"/>
      <c r="J115" s="115"/>
      <c r="K115" s="25"/>
      <c r="L115" s="25"/>
      <c r="M115" s="25"/>
      <c r="N115" s="25"/>
      <c r="O115" s="25"/>
      <c r="P115" s="25"/>
      <c r="Q115" s="25"/>
      <c r="R115" s="25"/>
    </row>
    <row r="116" spans="2:18" x14ac:dyDescent="0.3">
      <c r="B116" s="24"/>
      <c r="C116" s="24"/>
      <c r="D116" s="24"/>
      <c r="E116" s="24"/>
      <c r="F116" s="25"/>
      <c r="G116" s="25"/>
      <c r="H116" s="25"/>
      <c r="I116" s="115"/>
      <c r="J116" s="115"/>
      <c r="K116" s="25"/>
      <c r="L116" s="25"/>
      <c r="M116" s="25"/>
      <c r="N116" s="25"/>
      <c r="O116" s="25"/>
      <c r="P116" s="25"/>
      <c r="Q116" s="25"/>
      <c r="R116" s="25"/>
    </row>
    <row r="117" spans="2:18" x14ac:dyDescent="0.3">
      <c r="B117" s="24"/>
      <c r="C117" s="24"/>
      <c r="D117" s="24"/>
      <c r="E117" s="24"/>
      <c r="F117" s="25"/>
      <c r="G117" s="25"/>
      <c r="H117" s="25"/>
      <c r="I117" s="115"/>
      <c r="J117" s="115"/>
      <c r="K117" s="25"/>
      <c r="L117" s="25"/>
      <c r="M117" s="25"/>
      <c r="N117" s="25"/>
      <c r="O117" s="25"/>
      <c r="P117" s="25"/>
      <c r="Q117" s="25"/>
      <c r="R117" s="25"/>
    </row>
    <row r="118" spans="2:18" x14ac:dyDescent="0.3">
      <c r="B118" s="24"/>
      <c r="C118" s="24"/>
      <c r="D118" s="24"/>
      <c r="E118" s="24"/>
      <c r="F118" s="25"/>
      <c r="G118" s="25"/>
      <c r="H118" s="25"/>
      <c r="I118" s="115"/>
      <c r="J118" s="115"/>
      <c r="K118" s="25"/>
      <c r="L118" s="25"/>
      <c r="M118" s="25"/>
      <c r="N118" s="25"/>
      <c r="O118" s="25"/>
      <c r="P118" s="25"/>
      <c r="Q118" s="25"/>
      <c r="R118" s="25"/>
    </row>
    <row r="119" spans="2:18" x14ac:dyDescent="0.3">
      <c r="B119" s="24"/>
      <c r="C119" s="24"/>
      <c r="D119" s="24"/>
      <c r="E119" s="24"/>
      <c r="F119" s="25"/>
      <c r="G119" s="25"/>
      <c r="H119" s="25"/>
      <c r="I119" s="115"/>
      <c r="J119" s="115"/>
      <c r="K119" s="25"/>
      <c r="L119" s="25"/>
      <c r="M119" s="25"/>
      <c r="N119" s="25"/>
      <c r="O119" s="25"/>
      <c r="P119" s="25"/>
      <c r="Q119" s="25"/>
      <c r="R119" s="25"/>
    </row>
    <row r="120" spans="2:18" x14ac:dyDescent="0.3">
      <c r="B120" s="24"/>
      <c r="C120" s="24"/>
      <c r="D120" s="24"/>
      <c r="E120" s="24"/>
      <c r="F120" s="25"/>
      <c r="G120" s="25"/>
      <c r="H120" s="25"/>
      <c r="I120" s="115"/>
      <c r="J120" s="115"/>
      <c r="K120" s="25"/>
      <c r="L120" s="25"/>
      <c r="M120" s="25"/>
      <c r="N120" s="25"/>
      <c r="O120" s="25"/>
      <c r="P120" s="25"/>
      <c r="Q120" s="25"/>
      <c r="R120" s="25"/>
    </row>
    <row r="121" spans="2:18" x14ac:dyDescent="0.3">
      <c r="B121" s="24"/>
      <c r="C121" s="24"/>
      <c r="D121" s="24"/>
      <c r="E121" s="24"/>
      <c r="F121" s="25"/>
      <c r="G121" s="25"/>
      <c r="H121" s="25"/>
      <c r="I121" s="115"/>
      <c r="J121" s="115"/>
      <c r="K121" s="25"/>
      <c r="L121" s="25"/>
      <c r="M121" s="25"/>
      <c r="N121" s="25"/>
      <c r="O121" s="25"/>
      <c r="P121" s="25"/>
      <c r="Q121" s="25"/>
      <c r="R121" s="25"/>
    </row>
    <row r="122" spans="2:18" x14ac:dyDescent="0.3">
      <c r="B122" s="24"/>
      <c r="C122" s="24"/>
      <c r="D122" s="24"/>
      <c r="E122" s="24"/>
      <c r="F122" s="25"/>
      <c r="G122" s="25"/>
      <c r="H122" s="25"/>
      <c r="I122" s="115"/>
      <c r="J122" s="115"/>
      <c r="K122" s="25"/>
      <c r="L122" s="25"/>
      <c r="M122" s="25"/>
      <c r="N122" s="25"/>
      <c r="O122" s="25"/>
      <c r="P122" s="25"/>
      <c r="Q122" s="25"/>
      <c r="R122" s="25"/>
    </row>
    <row r="123" spans="2:18" x14ac:dyDescent="0.3">
      <c r="B123" s="24"/>
      <c r="C123" s="24"/>
      <c r="D123" s="24"/>
      <c r="E123" s="24"/>
      <c r="F123" s="25"/>
      <c r="G123" s="25"/>
      <c r="H123" s="25"/>
      <c r="I123" s="115"/>
      <c r="J123" s="115"/>
      <c r="K123" s="25"/>
      <c r="L123" s="25"/>
      <c r="M123" s="25"/>
      <c r="N123" s="25"/>
      <c r="O123" s="25"/>
      <c r="P123" s="25"/>
      <c r="Q123" s="25"/>
      <c r="R123" s="25"/>
    </row>
    <row r="124" spans="2:18" x14ac:dyDescent="0.3">
      <c r="B124" s="24"/>
      <c r="C124" s="24"/>
      <c r="D124" s="24"/>
      <c r="E124" s="24"/>
      <c r="F124" s="25"/>
      <c r="G124" s="25"/>
      <c r="H124" s="25"/>
      <c r="I124" s="115"/>
      <c r="J124" s="115"/>
      <c r="K124" s="25"/>
      <c r="L124" s="25"/>
      <c r="M124" s="25"/>
      <c r="N124" s="25"/>
      <c r="O124" s="25"/>
      <c r="P124" s="25"/>
      <c r="Q124" s="25"/>
      <c r="R124" s="25"/>
    </row>
    <row r="125" spans="2:18" x14ac:dyDescent="0.3">
      <c r="B125" s="24"/>
      <c r="C125" s="24"/>
      <c r="D125" s="24"/>
      <c r="E125" s="24"/>
      <c r="F125" s="25"/>
      <c r="G125" s="25"/>
      <c r="H125" s="25"/>
      <c r="I125" s="115"/>
      <c r="J125" s="115"/>
      <c r="K125" s="25"/>
      <c r="L125" s="25"/>
      <c r="M125" s="25"/>
      <c r="N125" s="25"/>
      <c r="O125" s="25"/>
      <c r="P125" s="25"/>
      <c r="Q125" s="25"/>
      <c r="R125" s="25"/>
    </row>
    <row r="126" spans="2:18" x14ac:dyDescent="0.3">
      <c r="B126" s="24"/>
      <c r="C126" s="24"/>
      <c r="D126" s="24"/>
      <c r="E126" s="24"/>
      <c r="F126" s="25"/>
      <c r="G126" s="25"/>
      <c r="H126" s="25"/>
      <c r="I126" s="115"/>
      <c r="J126" s="115"/>
      <c r="K126" s="25"/>
      <c r="L126" s="25"/>
      <c r="M126" s="25"/>
      <c r="N126" s="25"/>
      <c r="O126" s="25"/>
      <c r="P126" s="25"/>
      <c r="Q126" s="25"/>
      <c r="R126" s="25"/>
    </row>
    <row r="127" spans="2:18" x14ac:dyDescent="0.3">
      <c r="B127" s="24"/>
      <c r="C127" s="24"/>
      <c r="D127" s="24"/>
      <c r="E127" s="24"/>
      <c r="F127" s="25"/>
      <c r="G127" s="25"/>
      <c r="H127" s="25"/>
      <c r="I127" s="115"/>
      <c r="J127" s="115"/>
      <c r="K127" s="25"/>
      <c r="L127" s="25"/>
      <c r="M127" s="25"/>
      <c r="N127" s="25"/>
      <c r="O127" s="25"/>
      <c r="P127" s="25"/>
      <c r="Q127" s="25"/>
      <c r="R127" s="25"/>
    </row>
    <row r="128" spans="2:18" x14ac:dyDescent="0.3">
      <c r="B128" s="24"/>
      <c r="C128" s="24"/>
      <c r="D128" s="24"/>
      <c r="E128" s="24"/>
      <c r="F128" s="25"/>
      <c r="G128" s="25"/>
      <c r="H128" s="25"/>
      <c r="I128" s="115"/>
      <c r="J128" s="115"/>
      <c r="K128" s="25"/>
      <c r="L128" s="25"/>
      <c r="M128" s="25"/>
      <c r="N128" s="25"/>
      <c r="O128" s="25"/>
      <c r="P128" s="25"/>
      <c r="Q128" s="25"/>
      <c r="R128" s="25"/>
    </row>
    <row r="129" spans="2:18" x14ac:dyDescent="0.3">
      <c r="B129" s="24"/>
      <c r="C129" s="24"/>
      <c r="D129" s="24"/>
      <c r="E129" s="24"/>
      <c r="F129" s="25"/>
      <c r="G129" s="25"/>
      <c r="H129" s="25"/>
      <c r="I129" s="115"/>
      <c r="J129" s="115"/>
      <c r="K129" s="25"/>
      <c r="L129" s="25"/>
      <c r="M129" s="25"/>
      <c r="N129" s="25"/>
      <c r="O129" s="25"/>
      <c r="P129" s="25"/>
      <c r="Q129" s="25"/>
      <c r="R129" s="25"/>
    </row>
    <row r="130" spans="2:18" x14ac:dyDescent="0.3">
      <c r="B130" s="24"/>
      <c r="C130" s="24"/>
      <c r="D130" s="24"/>
      <c r="E130" s="24"/>
      <c r="F130" s="25"/>
      <c r="G130" s="25"/>
      <c r="H130" s="25"/>
      <c r="I130" s="115"/>
      <c r="J130" s="115"/>
      <c r="K130" s="25"/>
      <c r="L130" s="25"/>
      <c r="M130" s="25"/>
      <c r="N130" s="25"/>
      <c r="O130" s="25"/>
      <c r="P130" s="25"/>
      <c r="Q130" s="25"/>
      <c r="R130" s="25"/>
    </row>
    <row r="131" spans="2:18" x14ac:dyDescent="0.3">
      <c r="B131" s="24"/>
      <c r="C131" s="24"/>
      <c r="D131" s="24"/>
      <c r="E131" s="24"/>
      <c r="F131" s="25"/>
      <c r="G131" s="25"/>
      <c r="H131" s="25"/>
      <c r="I131" s="115"/>
      <c r="J131" s="115"/>
      <c r="K131" s="25"/>
      <c r="L131" s="25"/>
      <c r="M131" s="25"/>
      <c r="N131" s="25"/>
      <c r="O131" s="25"/>
      <c r="P131" s="25"/>
      <c r="Q131" s="25"/>
      <c r="R131" s="25"/>
    </row>
    <row r="132" spans="2:18" x14ac:dyDescent="0.3">
      <c r="B132" s="24"/>
      <c r="C132" s="24"/>
      <c r="D132" s="24"/>
      <c r="E132" s="24"/>
      <c r="F132" s="25"/>
      <c r="G132" s="25"/>
      <c r="H132" s="25"/>
      <c r="I132" s="115"/>
      <c r="J132" s="115"/>
      <c r="K132" s="25"/>
      <c r="L132" s="25"/>
      <c r="M132" s="25"/>
      <c r="N132" s="25"/>
      <c r="O132" s="25"/>
      <c r="P132" s="25"/>
      <c r="Q132" s="25"/>
      <c r="R132" s="25"/>
    </row>
    <row r="133" spans="2:18" x14ac:dyDescent="0.3">
      <c r="B133" s="24"/>
      <c r="C133" s="24"/>
      <c r="D133" s="24"/>
      <c r="E133" s="24"/>
      <c r="F133" s="25"/>
      <c r="G133" s="25"/>
      <c r="H133" s="25"/>
      <c r="I133" s="115"/>
      <c r="J133" s="115"/>
      <c r="K133" s="25"/>
      <c r="L133" s="25"/>
      <c r="M133" s="25"/>
      <c r="N133" s="25"/>
      <c r="O133" s="25"/>
      <c r="P133" s="25"/>
      <c r="Q133" s="25"/>
      <c r="R133" s="25"/>
    </row>
    <row r="134" spans="2:18" x14ac:dyDescent="0.3">
      <c r="B134" s="24"/>
      <c r="C134" s="24"/>
      <c r="D134" s="24"/>
      <c r="E134" s="24"/>
      <c r="F134" s="25"/>
      <c r="G134" s="25"/>
      <c r="H134" s="25"/>
      <c r="I134" s="115"/>
      <c r="J134" s="115"/>
      <c r="K134" s="25"/>
      <c r="L134" s="25"/>
      <c r="M134" s="25"/>
      <c r="N134" s="25"/>
      <c r="O134" s="25"/>
      <c r="P134" s="25"/>
      <c r="Q134" s="25"/>
      <c r="R134" s="25"/>
    </row>
    <row r="135" spans="2:18" x14ac:dyDescent="0.3">
      <c r="B135" s="24"/>
      <c r="C135" s="24"/>
      <c r="D135" s="24"/>
      <c r="E135" s="24"/>
      <c r="F135" s="25"/>
      <c r="G135" s="25"/>
      <c r="H135" s="25"/>
      <c r="I135" s="115"/>
      <c r="J135" s="115"/>
      <c r="K135" s="25"/>
      <c r="L135" s="25"/>
      <c r="M135" s="25"/>
      <c r="N135" s="25"/>
      <c r="O135" s="25"/>
      <c r="P135" s="25"/>
      <c r="Q135" s="25"/>
      <c r="R135" s="25"/>
    </row>
    <row r="136" spans="2:18" x14ac:dyDescent="0.3">
      <c r="B136" s="24"/>
      <c r="C136" s="24"/>
      <c r="D136" s="24"/>
      <c r="E136" s="24"/>
      <c r="F136" s="25"/>
      <c r="G136" s="25"/>
      <c r="H136" s="25"/>
      <c r="I136" s="115"/>
      <c r="J136" s="115"/>
      <c r="K136" s="25"/>
      <c r="L136" s="25"/>
      <c r="M136" s="25"/>
      <c r="N136" s="25"/>
      <c r="O136" s="25"/>
      <c r="P136" s="25"/>
      <c r="Q136" s="25"/>
      <c r="R136" s="25"/>
    </row>
    <row r="137" spans="2:18" x14ac:dyDescent="0.3">
      <c r="B137" s="24"/>
      <c r="C137" s="24"/>
      <c r="D137" s="24"/>
      <c r="E137" s="24"/>
      <c r="F137" s="25"/>
      <c r="G137" s="25"/>
      <c r="H137" s="25"/>
      <c r="I137" s="115"/>
      <c r="J137" s="115"/>
      <c r="K137" s="25"/>
      <c r="L137" s="25"/>
      <c r="M137" s="25"/>
      <c r="N137" s="25"/>
      <c r="O137" s="25"/>
      <c r="P137" s="25"/>
      <c r="Q137" s="25"/>
      <c r="R137" s="25"/>
    </row>
    <row r="138" spans="2:18" x14ac:dyDescent="0.3">
      <c r="B138" s="24"/>
      <c r="C138" s="24"/>
      <c r="D138" s="24"/>
      <c r="E138" s="24"/>
      <c r="F138" s="25"/>
      <c r="G138" s="25"/>
      <c r="H138" s="25"/>
      <c r="I138" s="115"/>
      <c r="J138" s="115"/>
      <c r="K138" s="25"/>
      <c r="L138" s="25"/>
      <c r="M138" s="25"/>
      <c r="N138" s="25"/>
      <c r="O138" s="25"/>
      <c r="P138" s="25"/>
      <c r="Q138" s="25"/>
      <c r="R138" s="25"/>
    </row>
    <row r="139" spans="2:18" x14ac:dyDescent="0.3">
      <c r="B139" s="24"/>
      <c r="C139" s="24"/>
      <c r="D139" s="24"/>
      <c r="E139" s="24"/>
      <c r="F139" s="25"/>
      <c r="G139" s="25"/>
      <c r="H139" s="25"/>
      <c r="I139" s="115"/>
      <c r="J139" s="115"/>
      <c r="K139" s="25"/>
      <c r="L139" s="25"/>
      <c r="M139" s="25"/>
      <c r="N139" s="25"/>
      <c r="O139" s="25"/>
      <c r="P139" s="25"/>
      <c r="Q139" s="25"/>
      <c r="R139" s="25"/>
    </row>
    <row r="140" spans="2:18" x14ac:dyDescent="0.3">
      <c r="B140" s="24"/>
      <c r="C140" s="24"/>
      <c r="D140" s="24"/>
      <c r="E140" s="24"/>
      <c r="F140" s="25"/>
      <c r="G140" s="25"/>
      <c r="H140" s="25"/>
      <c r="I140" s="115"/>
      <c r="J140" s="115"/>
      <c r="K140" s="25"/>
      <c r="L140" s="25"/>
      <c r="M140" s="25"/>
      <c r="N140" s="25"/>
      <c r="O140" s="25"/>
      <c r="P140" s="25"/>
      <c r="Q140" s="25"/>
      <c r="R140" s="25"/>
    </row>
    <row r="141" spans="2:18" x14ac:dyDescent="0.3">
      <c r="B141" s="24"/>
      <c r="C141" s="24"/>
      <c r="D141" s="24"/>
      <c r="E141" s="24"/>
      <c r="F141" s="25"/>
      <c r="G141" s="25"/>
      <c r="H141" s="25"/>
      <c r="I141" s="115"/>
      <c r="J141" s="115"/>
      <c r="K141" s="25"/>
      <c r="L141" s="25"/>
      <c r="M141" s="25"/>
      <c r="N141" s="25"/>
      <c r="O141" s="25"/>
      <c r="P141" s="25"/>
      <c r="Q141" s="25"/>
      <c r="R141" s="25"/>
    </row>
    <row r="142" spans="2:18" x14ac:dyDescent="0.3">
      <c r="B142" s="24"/>
      <c r="C142" s="24"/>
      <c r="D142" s="24"/>
      <c r="E142" s="24"/>
      <c r="F142" s="25"/>
      <c r="G142" s="25"/>
      <c r="H142" s="25"/>
      <c r="I142" s="115"/>
      <c r="J142" s="115"/>
      <c r="K142" s="25"/>
      <c r="L142" s="25"/>
      <c r="M142" s="25"/>
      <c r="N142" s="25"/>
      <c r="O142" s="25"/>
      <c r="P142" s="25"/>
      <c r="Q142" s="25"/>
      <c r="R142" s="25"/>
    </row>
    <row r="143" spans="2:18" x14ac:dyDescent="0.3">
      <c r="B143" s="24"/>
      <c r="C143" s="24"/>
      <c r="D143" s="24"/>
      <c r="E143" s="24"/>
      <c r="F143" s="25"/>
      <c r="G143" s="25"/>
      <c r="H143" s="25"/>
      <c r="I143" s="115"/>
      <c r="J143" s="115"/>
      <c r="K143" s="25"/>
      <c r="L143" s="25"/>
      <c r="M143" s="25"/>
      <c r="N143" s="25"/>
      <c r="O143" s="25"/>
      <c r="P143" s="25"/>
      <c r="Q143" s="25"/>
      <c r="R143" s="25"/>
    </row>
    <row r="144" spans="2:18" x14ac:dyDescent="0.3">
      <c r="B144" s="24"/>
      <c r="C144" s="24"/>
      <c r="D144" s="24"/>
      <c r="E144" s="24"/>
      <c r="F144" s="25"/>
      <c r="G144" s="25"/>
      <c r="H144" s="25"/>
      <c r="I144" s="115"/>
      <c r="J144" s="115"/>
      <c r="K144" s="25"/>
      <c r="L144" s="25"/>
      <c r="M144" s="25"/>
      <c r="N144" s="25"/>
      <c r="O144" s="25"/>
      <c r="P144" s="25"/>
      <c r="Q144" s="25"/>
      <c r="R144" s="25"/>
    </row>
    <row r="145" spans="2:18" x14ac:dyDescent="0.3">
      <c r="B145" s="24"/>
      <c r="C145" s="24"/>
      <c r="D145" s="24"/>
      <c r="E145" s="24"/>
      <c r="F145" s="25"/>
      <c r="G145" s="25"/>
      <c r="H145" s="25"/>
      <c r="I145" s="115"/>
      <c r="J145" s="115"/>
      <c r="K145" s="25"/>
      <c r="L145" s="25"/>
      <c r="M145" s="25"/>
      <c r="N145" s="25"/>
      <c r="O145" s="25"/>
      <c r="P145" s="25"/>
      <c r="Q145" s="25"/>
      <c r="R145" s="25"/>
    </row>
    <row r="146" spans="2:18" x14ac:dyDescent="0.3">
      <c r="B146" s="24"/>
      <c r="C146" s="24"/>
      <c r="D146" s="24"/>
      <c r="E146" s="24"/>
      <c r="F146" s="25"/>
      <c r="G146" s="25"/>
      <c r="H146" s="25"/>
      <c r="I146" s="115"/>
      <c r="J146" s="115"/>
      <c r="K146" s="25"/>
      <c r="L146" s="25"/>
      <c r="M146" s="25"/>
      <c r="N146" s="25"/>
      <c r="O146" s="25"/>
      <c r="P146" s="25"/>
      <c r="Q146" s="25"/>
      <c r="R146" s="25"/>
    </row>
    <row r="147" spans="2:18" x14ac:dyDescent="0.3">
      <c r="B147" s="24"/>
      <c r="C147" s="24"/>
      <c r="D147" s="24"/>
      <c r="E147" s="24"/>
      <c r="F147" s="25"/>
      <c r="G147" s="25"/>
      <c r="H147" s="25"/>
      <c r="I147" s="115"/>
      <c r="J147" s="115"/>
      <c r="K147" s="25"/>
      <c r="L147" s="25"/>
      <c r="M147" s="25"/>
      <c r="N147" s="25"/>
      <c r="O147" s="25"/>
      <c r="P147" s="25"/>
      <c r="Q147" s="25"/>
      <c r="R147" s="25"/>
    </row>
    <row r="148" spans="2:18" x14ac:dyDescent="0.3">
      <c r="B148" s="24"/>
      <c r="C148" s="24"/>
      <c r="D148" s="24"/>
      <c r="E148" s="24"/>
      <c r="F148" s="25"/>
      <c r="G148" s="25"/>
      <c r="H148" s="25"/>
      <c r="I148" s="115"/>
      <c r="J148" s="115"/>
      <c r="K148" s="25"/>
      <c r="L148" s="25"/>
      <c r="M148" s="25"/>
      <c r="N148" s="25"/>
      <c r="O148" s="25"/>
      <c r="P148" s="25"/>
      <c r="Q148" s="25"/>
      <c r="R148" s="25"/>
    </row>
    <row r="149" spans="2:18" x14ac:dyDescent="0.3">
      <c r="B149" s="24"/>
      <c r="C149" s="24"/>
      <c r="D149" s="24"/>
      <c r="E149" s="24"/>
      <c r="F149" s="25"/>
      <c r="G149" s="25"/>
      <c r="H149" s="25"/>
      <c r="I149" s="115"/>
      <c r="J149" s="115"/>
      <c r="K149" s="25"/>
      <c r="L149" s="25"/>
      <c r="M149" s="25"/>
      <c r="N149" s="25"/>
      <c r="O149" s="25"/>
      <c r="P149" s="25"/>
      <c r="Q149" s="25"/>
      <c r="R149" s="25"/>
    </row>
    <row r="150" spans="2:18" x14ac:dyDescent="0.3">
      <c r="B150" s="24"/>
      <c r="C150" s="24"/>
      <c r="D150" s="24"/>
      <c r="E150" s="24"/>
      <c r="F150" s="25"/>
      <c r="G150" s="25"/>
      <c r="H150" s="25"/>
      <c r="I150" s="115"/>
      <c r="J150" s="115"/>
      <c r="K150" s="25"/>
      <c r="L150" s="25"/>
      <c r="M150" s="25"/>
      <c r="N150" s="25"/>
      <c r="O150" s="25"/>
      <c r="P150" s="25"/>
      <c r="Q150" s="25"/>
      <c r="R150" s="25"/>
    </row>
    <row r="151" spans="2:18" x14ac:dyDescent="0.3">
      <c r="B151" s="24"/>
      <c r="C151" s="24"/>
      <c r="D151" s="24"/>
      <c r="E151" s="24"/>
      <c r="F151" s="25"/>
      <c r="G151" s="25"/>
      <c r="H151" s="25"/>
      <c r="I151" s="115"/>
      <c r="J151" s="115"/>
      <c r="K151" s="25"/>
      <c r="L151" s="25"/>
      <c r="M151" s="25"/>
      <c r="N151" s="25"/>
      <c r="O151" s="25"/>
      <c r="P151" s="25"/>
      <c r="Q151" s="25"/>
      <c r="R151" s="25"/>
    </row>
    <row r="152" spans="2:18" x14ac:dyDescent="0.3">
      <c r="B152" s="24"/>
      <c r="C152" s="24"/>
      <c r="D152" s="24"/>
      <c r="E152" s="24"/>
      <c r="F152" s="25"/>
      <c r="G152" s="25"/>
      <c r="H152" s="25"/>
      <c r="I152" s="115"/>
      <c r="J152" s="115"/>
      <c r="K152" s="25"/>
      <c r="L152" s="25"/>
      <c r="M152" s="25"/>
      <c r="N152" s="25"/>
      <c r="O152" s="25"/>
      <c r="P152" s="25"/>
      <c r="Q152" s="25"/>
      <c r="R152" s="25"/>
    </row>
    <row r="153" spans="2:18" x14ac:dyDescent="0.3">
      <c r="B153" s="24"/>
      <c r="C153" s="24"/>
      <c r="D153" s="24"/>
      <c r="E153" s="24"/>
      <c r="F153" s="25"/>
      <c r="G153" s="25"/>
      <c r="H153" s="25"/>
      <c r="I153" s="115"/>
      <c r="J153" s="115"/>
      <c r="K153" s="25"/>
      <c r="L153" s="25"/>
      <c r="M153" s="25"/>
      <c r="N153" s="25"/>
      <c r="O153" s="25"/>
      <c r="P153" s="25"/>
      <c r="Q153" s="25"/>
      <c r="R153" s="25"/>
    </row>
    <row r="154" spans="2:18" x14ac:dyDescent="0.3">
      <c r="B154" s="24"/>
      <c r="C154" s="24"/>
      <c r="D154" s="24"/>
      <c r="E154" s="24"/>
      <c r="F154" s="25"/>
      <c r="G154" s="25"/>
      <c r="H154" s="25"/>
      <c r="I154" s="115"/>
      <c r="J154" s="115"/>
      <c r="K154" s="25"/>
      <c r="L154" s="25"/>
      <c r="M154" s="25"/>
      <c r="N154" s="25"/>
      <c r="O154" s="25"/>
      <c r="P154" s="25"/>
      <c r="Q154" s="25"/>
      <c r="R154" s="25"/>
    </row>
    <row r="155" spans="2:18" x14ac:dyDescent="0.3">
      <c r="B155" s="24"/>
      <c r="C155" s="24"/>
      <c r="D155" s="24"/>
      <c r="E155" s="24"/>
      <c r="F155" s="25"/>
      <c r="G155" s="25"/>
      <c r="H155" s="25"/>
      <c r="I155" s="115"/>
      <c r="J155" s="115"/>
      <c r="K155" s="25"/>
      <c r="L155" s="25"/>
      <c r="M155" s="25"/>
      <c r="N155" s="25"/>
      <c r="O155" s="25"/>
      <c r="P155" s="25"/>
      <c r="Q155" s="25"/>
      <c r="R155" s="25"/>
    </row>
    <row r="156" spans="2:18" x14ac:dyDescent="0.3">
      <c r="B156" s="24"/>
      <c r="C156" s="24"/>
      <c r="D156" s="24"/>
      <c r="E156" s="24"/>
      <c r="F156" s="25"/>
      <c r="G156" s="25"/>
      <c r="H156" s="25"/>
      <c r="I156" s="115"/>
      <c r="J156" s="115"/>
      <c r="K156" s="25"/>
      <c r="L156" s="25"/>
      <c r="M156" s="25"/>
      <c r="N156" s="25"/>
      <c r="O156" s="25"/>
      <c r="P156" s="25"/>
      <c r="Q156" s="25"/>
      <c r="R156" s="25"/>
    </row>
    <row r="157" spans="2:18" x14ac:dyDescent="0.3">
      <c r="B157" s="24"/>
      <c r="C157" s="24"/>
      <c r="D157" s="24"/>
      <c r="E157" s="24"/>
      <c r="F157" s="25"/>
      <c r="G157" s="25"/>
      <c r="H157" s="25"/>
      <c r="I157" s="115"/>
      <c r="J157" s="115"/>
      <c r="K157" s="25"/>
      <c r="L157" s="25"/>
      <c r="M157" s="25"/>
      <c r="N157" s="25"/>
      <c r="O157" s="25"/>
      <c r="P157" s="25"/>
      <c r="Q157" s="25"/>
      <c r="R157" s="25"/>
    </row>
    <row r="158" spans="2:18" x14ac:dyDescent="0.3">
      <c r="B158" s="24"/>
      <c r="C158" s="24"/>
      <c r="D158" s="24"/>
      <c r="E158" s="24"/>
      <c r="F158" s="25"/>
      <c r="G158" s="25"/>
      <c r="H158" s="25"/>
      <c r="I158" s="115"/>
      <c r="J158" s="115"/>
      <c r="K158" s="25"/>
      <c r="L158" s="25"/>
      <c r="M158" s="25"/>
      <c r="N158" s="25"/>
      <c r="O158" s="25"/>
      <c r="P158" s="25"/>
      <c r="Q158" s="25"/>
      <c r="R158" s="25"/>
    </row>
    <row r="159" spans="2:18" x14ac:dyDescent="0.3">
      <c r="B159" s="24"/>
      <c r="C159" s="24"/>
      <c r="D159" s="24"/>
      <c r="E159" s="24"/>
      <c r="F159" s="25"/>
      <c r="G159" s="25"/>
      <c r="H159" s="25"/>
      <c r="I159" s="115"/>
      <c r="J159" s="115"/>
      <c r="K159" s="25"/>
      <c r="L159" s="25"/>
      <c r="M159" s="25"/>
      <c r="N159" s="25"/>
      <c r="O159" s="25"/>
      <c r="P159" s="25"/>
      <c r="Q159" s="25"/>
      <c r="R159" s="25"/>
    </row>
    <row r="160" spans="2:18" x14ac:dyDescent="0.3">
      <c r="B160" s="24"/>
      <c r="C160" s="24"/>
      <c r="D160" s="24"/>
      <c r="E160" s="24"/>
      <c r="F160" s="25"/>
      <c r="G160" s="25"/>
      <c r="H160" s="25"/>
      <c r="I160" s="115"/>
      <c r="J160" s="115"/>
      <c r="K160" s="25"/>
      <c r="L160" s="25"/>
      <c r="M160" s="25"/>
      <c r="N160" s="25"/>
      <c r="O160" s="25"/>
      <c r="P160" s="25"/>
      <c r="Q160" s="25"/>
      <c r="R160" s="25"/>
    </row>
    <row r="161" spans="2:18" x14ac:dyDescent="0.3">
      <c r="B161" s="24"/>
      <c r="C161" s="24"/>
      <c r="D161" s="24"/>
      <c r="E161" s="24"/>
      <c r="F161" s="25"/>
      <c r="G161" s="25"/>
      <c r="H161" s="25"/>
      <c r="I161" s="115"/>
      <c r="J161" s="115"/>
      <c r="K161" s="25"/>
      <c r="L161" s="25"/>
      <c r="M161" s="25"/>
      <c r="N161" s="25"/>
      <c r="O161" s="25"/>
      <c r="P161" s="25"/>
      <c r="Q161" s="25"/>
      <c r="R161" s="25"/>
    </row>
    <row r="162" spans="2:18" x14ac:dyDescent="0.3">
      <c r="B162" s="24"/>
      <c r="C162" s="24"/>
      <c r="D162" s="24"/>
      <c r="E162" s="24"/>
      <c r="F162" s="25"/>
      <c r="G162" s="25"/>
      <c r="H162" s="25"/>
      <c r="I162" s="115"/>
      <c r="J162" s="115"/>
      <c r="K162" s="25"/>
      <c r="L162" s="25"/>
      <c r="M162" s="25"/>
      <c r="N162" s="25"/>
      <c r="O162" s="25"/>
      <c r="P162" s="25"/>
      <c r="Q162" s="25"/>
      <c r="R162" s="25"/>
    </row>
    <row r="163" spans="2:18" x14ac:dyDescent="0.3">
      <c r="B163" s="24"/>
      <c r="C163" s="24"/>
      <c r="D163" s="24"/>
      <c r="E163" s="24"/>
      <c r="F163" s="25"/>
      <c r="G163" s="25"/>
      <c r="H163" s="25"/>
      <c r="I163" s="115"/>
      <c r="J163" s="115"/>
      <c r="K163" s="25"/>
      <c r="L163" s="25"/>
      <c r="M163" s="25"/>
      <c r="N163" s="25"/>
      <c r="O163" s="25"/>
      <c r="P163" s="25"/>
      <c r="Q163" s="25"/>
      <c r="R163" s="25"/>
    </row>
    <row r="164" spans="2:18" x14ac:dyDescent="0.3">
      <c r="B164" s="24"/>
      <c r="C164" s="24"/>
      <c r="D164" s="24"/>
      <c r="E164" s="24"/>
      <c r="F164" s="25"/>
      <c r="G164" s="25"/>
      <c r="H164" s="25"/>
      <c r="I164" s="115"/>
      <c r="J164" s="115"/>
      <c r="K164" s="25"/>
      <c r="L164" s="25"/>
      <c r="M164" s="25"/>
      <c r="N164" s="25"/>
      <c r="O164" s="25"/>
      <c r="P164" s="25"/>
      <c r="Q164" s="25"/>
      <c r="R164" s="25"/>
    </row>
    <row r="165" spans="2:18" x14ac:dyDescent="0.3">
      <c r="B165" s="24"/>
      <c r="C165" s="24"/>
      <c r="D165" s="24"/>
      <c r="E165" s="24"/>
      <c r="F165" s="25"/>
      <c r="G165" s="25"/>
      <c r="H165" s="25"/>
      <c r="I165" s="115"/>
      <c r="J165" s="115"/>
      <c r="K165" s="25"/>
      <c r="L165" s="25"/>
      <c r="M165" s="25"/>
      <c r="N165" s="25"/>
      <c r="O165" s="25"/>
      <c r="P165" s="25"/>
      <c r="Q165" s="25"/>
      <c r="R165" s="25"/>
    </row>
    <row r="166" spans="2:18" x14ac:dyDescent="0.3">
      <c r="B166" s="24"/>
      <c r="C166" s="24"/>
      <c r="D166" s="24"/>
      <c r="E166" s="24"/>
      <c r="F166" s="25"/>
      <c r="G166" s="25"/>
      <c r="H166" s="25"/>
      <c r="I166" s="115"/>
      <c r="J166" s="115"/>
      <c r="K166" s="25"/>
      <c r="L166" s="25"/>
      <c r="M166" s="25"/>
      <c r="N166" s="25"/>
      <c r="O166" s="25"/>
      <c r="P166" s="25"/>
      <c r="Q166" s="25"/>
      <c r="R166" s="25"/>
    </row>
    <row r="167" spans="2:18" x14ac:dyDescent="0.3">
      <c r="B167" s="24"/>
      <c r="C167" s="24"/>
      <c r="D167" s="24"/>
      <c r="E167" s="24"/>
      <c r="F167" s="25"/>
      <c r="G167" s="25"/>
      <c r="H167" s="25"/>
      <c r="I167" s="115"/>
      <c r="J167" s="115"/>
      <c r="K167" s="25"/>
      <c r="L167" s="25"/>
      <c r="M167" s="25"/>
      <c r="N167" s="25"/>
      <c r="O167" s="25"/>
      <c r="P167" s="25"/>
      <c r="Q167" s="25"/>
      <c r="R167" s="25"/>
    </row>
    <row r="168" spans="2:18" x14ac:dyDescent="0.3">
      <c r="B168" s="24"/>
      <c r="C168" s="24"/>
      <c r="D168" s="24"/>
      <c r="E168" s="24"/>
      <c r="F168" s="25"/>
      <c r="G168" s="25"/>
      <c r="H168" s="25"/>
      <c r="I168" s="115"/>
      <c r="J168" s="115"/>
      <c r="K168" s="25"/>
      <c r="L168" s="25"/>
      <c r="M168" s="25"/>
      <c r="N168" s="25"/>
      <c r="O168" s="25"/>
      <c r="P168" s="25"/>
      <c r="Q168" s="25"/>
      <c r="R168" s="25"/>
    </row>
    <row r="169" spans="2:18" x14ac:dyDescent="0.3">
      <c r="B169" s="24"/>
      <c r="C169" s="24"/>
      <c r="D169" s="24"/>
      <c r="E169" s="24"/>
      <c r="F169" s="25"/>
      <c r="G169" s="25"/>
      <c r="H169" s="25"/>
      <c r="I169" s="115"/>
      <c r="J169" s="115"/>
      <c r="K169" s="25"/>
      <c r="L169" s="25"/>
      <c r="M169" s="25"/>
      <c r="N169" s="25"/>
      <c r="O169" s="25"/>
      <c r="P169" s="25"/>
      <c r="Q169" s="25"/>
      <c r="R169" s="25"/>
    </row>
    <row r="170" spans="2:18" x14ac:dyDescent="0.3">
      <c r="B170" s="24"/>
      <c r="C170" s="24"/>
      <c r="D170" s="24"/>
      <c r="E170" s="24"/>
      <c r="F170" s="25"/>
      <c r="G170" s="25"/>
      <c r="H170" s="25"/>
      <c r="I170" s="115"/>
      <c r="J170" s="115"/>
      <c r="K170" s="25"/>
      <c r="L170" s="25"/>
      <c r="M170" s="25"/>
      <c r="N170" s="25"/>
      <c r="O170" s="25"/>
      <c r="P170" s="25"/>
      <c r="Q170" s="25"/>
      <c r="R170" s="25"/>
    </row>
    <row r="171" spans="2:18" x14ac:dyDescent="0.3">
      <c r="B171" s="24"/>
      <c r="C171" s="24"/>
      <c r="D171" s="24"/>
      <c r="E171" s="24"/>
      <c r="F171" s="25"/>
      <c r="G171" s="25"/>
      <c r="H171" s="25"/>
      <c r="I171" s="115"/>
      <c r="J171" s="115"/>
      <c r="K171" s="25"/>
      <c r="L171" s="25"/>
      <c r="M171" s="25"/>
      <c r="N171" s="25"/>
      <c r="O171" s="25"/>
      <c r="P171" s="25"/>
      <c r="Q171" s="25"/>
      <c r="R171" s="25"/>
    </row>
    <row r="172" spans="2:18" x14ac:dyDescent="0.3">
      <c r="B172" s="24"/>
      <c r="C172" s="24"/>
      <c r="D172" s="24"/>
      <c r="E172" s="24"/>
      <c r="F172" s="25"/>
      <c r="G172" s="25"/>
      <c r="H172" s="25"/>
      <c r="I172" s="115"/>
      <c r="J172" s="115"/>
      <c r="K172" s="25"/>
      <c r="L172" s="25"/>
      <c r="M172" s="25"/>
      <c r="N172" s="25"/>
      <c r="O172" s="25"/>
      <c r="P172" s="25"/>
      <c r="Q172" s="25"/>
      <c r="R172" s="25"/>
    </row>
    <row r="173" spans="2:18" x14ac:dyDescent="0.3">
      <c r="B173" s="24"/>
      <c r="C173" s="24"/>
      <c r="D173" s="24"/>
      <c r="E173" s="24"/>
      <c r="F173" s="25"/>
      <c r="G173" s="25"/>
      <c r="H173" s="25"/>
      <c r="I173" s="115"/>
      <c r="J173" s="115"/>
      <c r="K173" s="25"/>
      <c r="L173" s="25"/>
      <c r="M173" s="25"/>
      <c r="N173" s="25"/>
      <c r="O173" s="25"/>
      <c r="P173" s="25"/>
      <c r="Q173" s="25"/>
      <c r="R173" s="25"/>
    </row>
    <row r="174" spans="2:18" x14ac:dyDescent="0.3">
      <c r="B174" s="24"/>
      <c r="C174" s="24"/>
      <c r="D174" s="24"/>
      <c r="E174" s="24"/>
      <c r="F174" s="25"/>
      <c r="G174" s="25"/>
      <c r="H174" s="25"/>
      <c r="I174" s="115"/>
      <c r="J174" s="115"/>
      <c r="K174" s="25"/>
      <c r="L174" s="25"/>
      <c r="M174" s="25"/>
      <c r="N174" s="25"/>
      <c r="O174" s="25"/>
      <c r="P174" s="25"/>
      <c r="Q174" s="25"/>
      <c r="R174" s="25"/>
    </row>
    <row r="175" spans="2:18" x14ac:dyDescent="0.3">
      <c r="B175" s="24"/>
      <c r="C175" s="24"/>
      <c r="D175" s="24"/>
      <c r="E175" s="24"/>
      <c r="F175" s="25"/>
      <c r="G175" s="25"/>
      <c r="H175" s="25"/>
      <c r="I175" s="115"/>
      <c r="J175" s="115"/>
      <c r="K175" s="25"/>
      <c r="L175" s="25"/>
      <c r="M175" s="25"/>
      <c r="N175" s="25"/>
      <c r="O175" s="25"/>
      <c r="P175" s="25"/>
      <c r="Q175" s="25"/>
      <c r="R175" s="25"/>
    </row>
    <row r="176" spans="2:18" x14ac:dyDescent="0.3">
      <c r="B176" s="24"/>
      <c r="C176" s="24"/>
      <c r="D176" s="24"/>
      <c r="E176" s="24"/>
      <c r="F176" s="25"/>
      <c r="G176" s="25"/>
      <c r="H176" s="25"/>
      <c r="I176" s="115"/>
      <c r="J176" s="115"/>
      <c r="K176" s="25"/>
      <c r="L176" s="25"/>
      <c r="M176" s="25"/>
      <c r="N176" s="25"/>
      <c r="O176" s="25"/>
      <c r="P176" s="25"/>
      <c r="Q176" s="25"/>
      <c r="R176" s="25"/>
    </row>
    <row r="177" spans="2:18" x14ac:dyDescent="0.3">
      <c r="B177" s="24"/>
      <c r="C177" s="24"/>
      <c r="D177" s="24"/>
      <c r="E177" s="24"/>
      <c r="F177" s="25"/>
      <c r="G177" s="25"/>
      <c r="H177" s="25"/>
      <c r="I177" s="115"/>
      <c r="J177" s="115"/>
      <c r="K177" s="25"/>
      <c r="L177" s="25"/>
      <c r="M177" s="25"/>
      <c r="N177" s="25"/>
      <c r="O177" s="25"/>
      <c r="P177" s="25"/>
      <c r="Q177" s="25"/>
      <c r="R177" s="25"/>
    </row>
    <row r="178" spans="2:18" x14ac:dyDescent="0.3">
      <c r="B178" s="24"/>
      <c r="C178" s="24"/>
      <c r="D178" s="24"/>
      <c r="E178" s="24"/>
      <c r="F178" s="25"/>
      <c r="G178" s="25"/>
      <c r="H178" s="25"/>
      <c r="I178" s="115"/>
      <c r="J178" s="115"/>
      <c r="K178" s="25"/>
      <c r="L178" s="25"/>
      <c r="M178" s="25"/>
      <c r="N178" s="25"/>
      <c r="O178" s="25"/>
      <c r="P178" s="25"/>
      <c r="Q178" s="25"/>
      <c r="R178" s="25"/>
    </row>
    <row r="179" spans="2:18" x14ac:dyDescent="0.3">
      <c r="B179" s="24"/>
      <c r="C179" s="24"/>
      <c r="D179" s="24"/>
      <c r="E179" s="24"/>
      <c r="F179" s="25"/>
      <c r="G179" s="25"/>
      <c r="H179" s="25"/>
      <c r="I179" s="115"/>
      <c r="J179" s="115"/>
      <c r="K179" s="25"/>
      <c r="L179" s="25"/>
      <c r="M179" s="25"/>
      <c r="N179" s="25"/>
      <c r="O179" s="25"/>
      <c r="P179" s="25"/>
      <c r="Q179" s="25"/>
      <c r="R179" s="25"/>
    </row>
    <row r="180" spans="2:18" x14ac:dyDescent="0.3">
      <c r="B180" s="24"/>
      <c r="C180" s="24"/>
      <c r="D180" s="24"/>
      <c r="E180" s="24"/>
      <c r="F180" s="25"/>
      <c r="G180" s="25"/>
      <c r="H180" s="25"/>
      <c r="I180" s="115"/>
      <c r="J180" s="115"/>
      <c r="K180" s="25"/>
      <c r="L180" s="25"/>
      <c r="M180" s="25"/>
      <c r="N180" s="25"/>
      <c r="O180" s="25"/>
      <c r="P180" s="25"/>
      <c r="Q180" s="25"/>
      <c r="R180" s="25"/>
    </row>
    <row r="181" spans="2:18" x14ac:dyDescent="0.3">
      <c r="B181" s="24"/>
      <c r="C181" s="24"/>
      <c r="D181" s="24"/>
      <c r="E181" s="24"/>
      <c r="F181" s="25"/>
      <c r="G181" s="25"/>
      <c r="H181" s="25"/>
      <c r="I181" s="115"/>
      <c r="J181" s="115"/>
      <c r="K181" s="25"/>
      <c r="L181" s="25"/>
      <c r="M181" s="25"/>
      <c r="N181" s="25"/>
      <c r="O181" s="25"/>
      <c r="P181" s="25"/>
      <c r="Q181" s="25"/>
      <c r="R181" s="25"/>
    </row>
    <row r="182" spans="2:18" x14ac:dyDescent="0.3">
      <c r="B182" s="24"/>
      <c r="C182" s="24"/>
      <c r="D182" s="24"/>
      <c r="E182" s="24"/>
      <c r="F182" s="25"/>
      <c r="G182" s="25"/>
      <c r="H182" s="25"/>
      <c r="I182" s="115"/>
      <c r="J182" s="115"/>
      <c r="K182" s="25"/>
      <c r="L182" s="25"/>
      <c r="M182" s="25"/>
      <c r="N182" s="25"/>
      <c r="O182" s="25"/>
      <c r="P182" s="25"/>
      <c r="Q182" s="25"/>
      <c r="R182" s="25"/>
    </row>
    <row r="183" spans="2:18" x14ac:dyDescent="0.3">
      <c r="B183" s="24"/>
      <c r="C183" s="24"/>
      <c r="D183" s="24"/>
      <c r="E183" s="24"/>
      <c r="F183" s="25"/>
      <c r="G183" s="25"/>
      <c r="H183" s="25"/>
      <c r="I183" s="115"/>
      <c r="J183" s="115"/>
      <c r="K183" s="25"/>
      <c r="L183" s="25"/>
      <c r="M183" s="25"/>
      <c r="N183" s="25"/>
      <c r="O183" s="25"/>
      <c r="P183" s="25"/>
      <c r="Q183" s="25"/>
      <c r="R183" s="25"/>
    </row>
    <row r="184" spans="2:18" x14ac:dyDescent="0.3">
      <c r="B184" s="24"/>
      <c r="C184" s="24"/>
      <c r="D184" s="24"/>
      <c r="E184" s="24"/>
      <c r="F184" s="25"/>
      <c r="G184" s="25"/>
      <c r="H184" s="25"/>
      <c r="I184" s="115"/>
      <c r="J184" s="115"/>
      <c r="K184" s="25"/>
      <c r="L184" s="25"/>
      <c r="M184" s="25"/>
      <c r="N184" s="25"/>
      <c r="O184" s="25"/>
      <c r="P184" s="25"/>
      <c r="Q184" s="25"/>
      <c r="R184" s="25"/>
    </row>
    <row r="185" spans="2:18" x14ac:dyDescent="0.3">
      <c r="B185" s="24"/>
      <c r="C185" s="24"/>
      <c r="D185" s="24"/>
      <c r="E185" s="24"/>
      <c r="F185" s="25"/>
      <c r="G185" s="25"/>
      <c r="H185" s="25"/>
      <c r="I185" s="115"/>
      <c r="J185" s="115"/>
      <c r="K185" s="25"/>
      <c r="L185" s="25"/>
      <c r="M185" s="25"/>
      <c r="N185" s="25"/>
      <c r="O185" s="25"/>
      <c r="P185" s="25"/>
      <c r="Q185" s="25"/>
      <c r="R185" s="25"/>
    </row>
    <row r="186" spans="2:18" x14ac:dyDescent="0.3">
      <c r="B186" s="24"/>
      <c r="C186" s="24"/>
      <c r="D186" s="24"/>
      <c r="E186" s="24"/>
      <c r="F186" s="25"/>
      <c r="G186" s="25"/>
      <c r="H186" s="25"/>
      <c r="I186" s="115"/>
      <c r="J186" s="115"/>
      <c r="K186" s="25"/>
      <c r="L186" s="25"/>
      <c r="M186" s="25"/>
      <c r="N186" s="25"/>
      <c r="O186" s="25"/>
      <c r="P186" s="25"/>
      <c r="Q186" s="25"/>
      <c r="R186" s="25"/>
    </row>
    <row r="187" spans="2:18" x14ac:dyDescent="0.3">
      <c r="B187" s="24"/>
      <c r="C187" s="24"/>
      <c r="D187" s="24"/>
      <c r="E187" s="24"/>
      <c r="F187" s="25"/>
      <c r="G187" s="25"/>
      <c r="H187" s="25"/>
      <c r="I187" s="115"/>
      <c r="J187" s="115"/>
      <c r="K187" s="25"/>
      <c r="L187" s="25"/>
      <c r="M187" s="25"/>
      <c r="N187" s="25"/>
      <c r="O187" s="25"/>
      <c r="P187" s="25"/>
      <c r="Q187" s="25"/>
      <c r="R187" s="25"/>
    </row>
    <row r="188" spans="2:18" x14ac:dyDescent="0.3">
      <c r="B188" s="24"/>
      <c r="C188" s="24"/>
      <c r="D188" s="24"/>
      <c r="E188" s="24"/>
      <c r="F188" s="25"/>
      <c r="G188" s="25"/>
      <c r="H188" s="25"/>
      <c r="I188" s="115"/>
      <c r="J188" s="115"/>
      <c r="K188" s="25"/>
      <c r="L188" s="25"/>
      <c r="M188" s="25"/>
      <c r="N188" s="25"/>
      <c r="O188" s="25"/>
      <c r="P188" s="25"/>
      <c r="Q188" s="25"/>
      <c r="R188" s="25"/>
    </row>
    <row r="189" spans="2:18" x14ac:dyDescent="0.3">
      <c r="B189" s="24"/>
      <c r="C189" s="24"/>
      <c r="D189" s="24"/>
      <c r="E189" s="24"/>
      <c r="F189" s="25"/>
      <c r="G189" s="25"/>
      <c r="H189" s="25"/>
      <c r="I189" s="115"/>
      <c r="J189" s="115"/>
      <c r="K189" s="25"/>
      <c r="L189" s="25"/>
      <c r="M189" s="25"/>
      <c r="N189" s="25"/>
      <c r="O189" s="25"/>
      <c r="P189" s="25"/>
      <c r="Q189" s="25"/>
      <c r="R189" s="25"/>
    </row>
    <row r="190" spans="2:18" x14ac:dyDescent="0.3">
      <c r="B190" s="24"/>
      <c r="C190" s="24"/>
      <c r="D190" s="24"/>
      <c r="E190" s="24"/>
      <c r="F190" s="25"/>
      <c r="G190" s="25"/>
      <c r="H190" s="25"/>
      <c r="I190" s="115"/>
      <c r="J190" s="115"/>
      <c r="K190" s="25"/>
      <c r="L190" s="25"/>
      <c r="M190" s="25"/>
      <c r="N190" s="25"/>
      <c r="O190" s="25"/>
      <c r="P190" s="25"/>
      <c r="Q190" s="25"/>
      <c r="R190" s="25"/>
    </row>
    <row r="191" spans="2:18" x14ac:dyDescent="0.3">
      <c r="B191" s="24"/>
      <c r="C191" s="24"/>
      <c r="D191" s="24"/>
      <c r="E191" s="24"/>
      <c r="F191" s="25"/>
      <c r="G191" s="25"/>
      <c r="H191" s="25"/>
      <c r="I191" s="115"/>
      <c r="J191" s="115"/>
      <c r="K191" s="25"/>
      <c r="L191" s="25"/>
      <c r="M191" s="25"/>
      <c r="N191" s="25"/>
      <c r="O191" s="25"/>
      <c r="P191" s="25"/>
      <c r="Q191" s="25"/>
      <c r="R191" s="25"/>
    </row>
    <row r="192" spans="2:18" x14ac:dyDescent="0.3">
      <c r="B192" s="24"/>
      <c r="C192" s="24"/>
      <c r="D192" s="24"/>
      <c r="E192" s="24"/>
      <c r="F192" s="25"/>
      <c r="G192" s="25"/>
      <c r="H192" s="25"/>
      <c r="I192" s="115"/>
      <c r="J192" s="115"/>
      <c r="K192" s="25"/>
      <c r="L192" s="25"/>
      <c r="M192" s="25"/>
      <c r="N192" s="25"/>
      <c r="O192" s="25"/>
      <c r="P192" s="25"/>
      <c r="Q192" s="25"/>
      <c r="R192" s="25"/>
    </row>
    <row r="193" spans="2:18" x14ac:dyDescent="0.3">
      <c r="B193" s="24"/>
      <c r="C193" s="24"/>
      <c r="D193" s="24"/>
      <c r="E193" s="24"/>
      <c r="F193" s="25"/>
      <c r="G193" s="25"/>
      <c r="H193" s="25"/>
      <c r="I193" s="115"/>
      <c r="J193" s="115"/>
      <c r="K193" s="25"/>
      <c r="L193" s="25"/>
      <c r="M193" s="25"/>
      <c r="N193" s="25"/>
      <c r="O193" s="25"/>
      <c r="P193" s="25"/>
      <c r="Q193" s="25"/>
      <c r="R193" s="25"/>
    </row>
    <row r="194" spans="2:18" x14ac:dyDescent="0.3">
      <c r="B194" s="24"/>
      <c r="C194" s="24"/>
      <c r="D194" s="24"/>
      <c r="E194" s="24"/>
      <c r="F194" s="25"/>
      <c r="G194" s="25"/>
      <c r="H194" s="25"/>
      <c r="I194" s="115"/>
      <c r="J194" s="115"/>
      <c r="K194" s="25"/>
      <c r="L194" s="25"/>
      <c r="M194" s="25"/>
      <c r="N194" s="25"/>
      <c r="O194" s="25"/>
      <c r="P194" s="25"/>
      <c r="Q194" s="25"/>
      <c r="R194" s="25"/>
    </row>
    <row r="195" spans="2:18" x14ac:dyDescent="0.3">
      <c r="B195" s="24"/>
      <c r="C195" s="24"/>
      <c r="D195" s="24"/>
      <c r="E195" s="24"/>
      <c r="F195" s="25"/>
      <c r="G195" s="25"/>
      <c r="H195" s="25"/>
      <c r="I195" s="115"/>
      <c r="J195" s="115"/>
      <c r="K195" s="25"/>
      <c r="L195" s="25"/>
      <c r="M195" s="25"/>
      <c r="N195" s="25"/>
      <c r="O195" s="25"/>
      <c r="P195" s="25"/>
      <c r="Q195" s="25"/>
      <c r="R195" s="25"/>
    </row>
    <row r="196" spans="2:18" x14ac:dyDescent="0.3">
      <c r="B196" s="24"/>
      <c r="C196" s="24"/>
      <c r="D196" s="24"/>
      <c r="E196" s="24"/>
      <c r="F196" s="25"/>
      <c r="G196" s="25"/>
      <c r="H196" s="25"/>
      <c r="I196" s="115"/>
      <c r="J196" s="115"/>
      <c r="K196" s="25"/>
      <c r="L196" s="25"/>
      <c r="M196" s="25"/>
      <c r="N196" s="25"/>
      <c r="O196" s="25"/>
      <c r="P196" s="25"/>
      <c r="Q196" s="25"/>
      <c r="R196" s="25"/>
    </row>
    <row r="197" spans="2:18" x14ac:dyDescent="0.3">
      <c r="B197" s="24"/>
      <c r="C197" s="24"/>
      <c r="D197" s="24"/>
      <c r="E197" s="24"/>
      <c r="F197" s="25"/>
      <c r="G197" s="25"/>
      <c r="H197" s="25"/>
      <c r="I197" s="115"/>
      <c r="J197" s="115"/>
      <c r="K197" s="25"/>
      <c r="L197" s="25"/>
      <c r="M197" s="25"/>
      <c r="N197" s="25"/>
      <c r="O197" s="25"/>
      <c r="P197" s="25"/>
      <c r="Q197" s="25"/>
      <c r="R197" s="25"/>
    </row>
    <row r="198" spans="2:18" x14ac:dyDescent="0.3">
      <c r="B198" s="24"/>
      <c r="C198" s="24"/>
      <c r="D198" s="24"/>
      <c r="E198" s="24"/>
      <c r="F198" s="25"/>
      <c r="G198" s="25"/>
      <c r="H198" s="25"/>
      <c r="I198" s="115"/>
      <c r="J198" s="115"/>
      <c r="K198" s="25"/>
      <c r="L198" s="25"/>
      <c r="M198" s="25"/>
      <c r="N198" s="25"/>
      <c r="O198" s="25"/>
      <c r="P198" s="25"/>
      <c r="Q198" s="25"/>
      <c r="R198" s="25"/>
    </row>
    <row r="199" spans="2:18" x14ac:dyDescent="0.3">
      <c r="B199" s="24"/>
      <c r="C199" s="24"/>
      <c r="D199" s="24"/>
      <c r="E199" s="24"/>
      <c r="F199" s="25"/>
      <c r="G199" s="25"/>
      <c r="H199" s="25"/>
      <c r="I199" s="115"/>
      <c r="J199" s="115"/>
      <c r="K199" s="25"/>
      <c r="L199" s="25"/>
      <c r="M199" s="25"/>
      <c r="N199" s="25"/>
      <c r="O199" s="25"/>
      <c r="P199" s="25"/>
      <c r="Q199" s="25"/>
      <c r="R199" s="25"/>
    </row>
    <row r="200" spans="2:18" x14ac:dyDescent="0.3">
      <c r="B200" s="24"/>
      <c r="C200" s="24"/>
      <c r="D200" s="24"/>
      <c r="E200" s="24"/>
      <c r="F200" s="25"/>
      <c r="G200" s="25"/>
      <c r="H200" s="25"/>
      <c r="I200" s="115"/>
      <c r="J200" s="115"/>
      <c r="K200" s="25"/>
      <c r="L200" s="25"/>
      <c r="M200" s="25"/>
      <c r="N200" s="25"/>
      <c r="O200" s="25"/>
      <c r="P200" s="25"/>
      <c r="Q200" s="25"/>
      <c r="R200" s="25"/>
    </row>
    <row r="201" spans="2:18" x14ac:dyDescent="0.3">
      <c r="B201" s="24"/>
      <c r="C201" s="24"/>
      <c r="D201" s="24"/>
      <c r="E201" s="24"/>
      <c r="F201" s="25"/>
      <c r="G201" s="25"/>
      <c r="H201" s="25"/>
      <c r="I201" s="115"/>
      <c r="J201" s="115"/>
      <c r="K201" s="25"/>
      <c r="L201" s="25"/>
      <c r="M201" s="25"/>
      <c r="N201" s="25"/>
      <c r="O201" s="25"/>
      <c r="P201" s="25"/>
      <c r="Q201" s="25"/>
      <c r="R201" s="25"/>
    </row>
    <row r="202" spans="2:18" x14ac:dyDescent="0.3">
      <c r="B202" s="24"/>
      <c r="C202" s="24"/>
      <c r="D202" s="24"/>
      <c r="E202" s="24"/>
      <c r="F202" s="25"/>
      <c r="G202" s="25"/>
      <c r="H202" s="25"/>
      <c r="I202" s="115"/>
      <c r="J202" s="115"/>
      <c r="K202" s="25"/>
      <c r="L202" s="25"/>
      <c r="M202" s="25"/>
      <c r="N202" s="25"/>
      <c r="O202" s="25"/>
      <c r="P202" s="25"/>
      <c r="Q202" s="25"/>
      <c r="R202" s="25"/>
    </row>
    <row r="203" spans="2:18" x14ac:dyDescent="0.3">
      <c r="B203" s="24"/>
      <c r="C203" s="24"/>
      <c r="D203" s="24"/>
      <c r="E203" s="24"/>
      <c r="F203" s="25"/>
      <c r="G203" s="25"/>
      <c r="H203" s="25"/>
      <c r="I203" s="115"/>
      <c r="J203" s="115"/>
      <c r="K203" s="25"/>
      <c r="L203" s="25"/>
      <c r="M203" s="25"/>
      <c r="N203" s="25"/>
      <c r="O203" s="25"/>
      <c r="P203" s="25"/>
      <c r="Q203" s="25"/>
      <c r="R203" s="25"/>
    </row>
    <row r="204" spans="2:18" x14ac:dyDescent="0.3">
      <c r="B204" s="24"/>
      <c r="C204" s="24"/>
      <c r="D204" s="24"/>
      <c r="E204" s="24"/>
      <c r="F204" s="25"/>
      <c r="G204" s="25"/>
      <c r="H204" s="25"/>
      <c r="I204" s="115"/>
      <c r="J204" s="115"/>
      <c r="K204" s="25"/>
      <c r="L204" s="25"/>
      <c r="M204" s="25"/>
      <c r="N204" s="25"/>
      <c r="O204" s="25"/>
      <c r="P204" s="25"/>
      <c r="Q204" s="25"/>
      <c r="R204" s="25"/>
    </row>
    <row r="205" spans="2:18" x14ac:dyDescent="0.3">
      <c r="B205" s="24"/>
      <c r="C205" s="24"/>
      <c r="D205" s="24"/>
      <c r="E205" s="24"/>
      <c r="F205" s="25"/>
      <c r="G205" s="25"/>
      <c r="H205" s="25"/>
      <c r="I205" s="115"/>
      <c r="J205" s="115"/>
      <c r="K205" s="25"/>
      <c r="L205" s="25"/>
      <c r="M205" s="25"/>
      <c r="N205" s="25"/>
      <c r="O205" s="25"/>
      <c r="P205" s="25"/>
      <c r="Q205" s="25"/>
      <c r="R205" s="25"/>
    </row>
    <row r="206" spans="2:18" x14ac:dyDescent="0.3">
      <c r="B206" s="24"/>
      <c r="C206" s="24"/>
      <c r="D206" s="24"/>
      <c r="E206" s="24"/>
      <c r="F206" s="25"/>
      <c r="G206" s="25"/>
      <c r="H206" s="25"/>
      <c r="I206" s="115"/>
      <c r="J206" s="115"/>
      <c r="K206" s="25"/>
      <c r="L206" s="25"/>
      <c r="M206" s="25"/>
      <c r="N206" s="25"/>
      <c r="O206" s="25"/>
      <c r="P206" s="25"/>
      <c r="Q206" s="25"/>
      <c r="R206" s="25"/>
    </row>
    <row r="207" spans="2:18" x14ac:dyDescent="0.3">
      <c r="B207" s="24"/>
      <c r="C207" s="24"/>
      <c r="D207" s="24"/>
      <c r="E207" s="24"/>
      <c r="F207" s="25"/>
      <c r="G207" s="25"/>
      <c r="H207" s="25"/>
      <c r="I207" s="115"/>
      <c r="J207" s="115"/>
      <c r="K207" s="25"/>
      <c r="L207" s="25"/>
      <c r="M207" s="25"/>
      <c r="N207" s="25"/>
      <c r="O207" s="25"/>
      <c r="P207" s="25"/>
      <c r="Q207" s="25"/>
      <c r="R207" s="25"/>
    </row>
    <row r="208" spans="2:18" x14ac:dyDescent="0.3">
      <c r="B208" s="24"/>
      <c r="C208" s="24"/>
      <c r="D208" s="24"/>
      <c r="E208" s="24"/>
      <c r="F208" s="25"/>
      <c r="G208" s="25"/>
      <c r="H208" s="25"/>
      <c r="I208" s="115"/>
      <c r="J208" s="115"/>
      <c r="K208" s="25"/>
      <c r="L208" s="25"/>
      <c r="M208" s="25"/>
      <c r="N208" s="25"/>
      <c r="O208" s="25"/>
      <c r="P208" s="25"/>
      <c r="Q208" s="25"/>
      <c r="R208" s="25"/>
    </row>
    <row r="209" spans="2:18" x14ac:dyDescent="0.3">
      <c r="B209" s="24"/>
      <c r="C209" s="24"/>
      <c r="D209" s="24"/>
      <c r="E209" s="24"/>
      <c r="F209" s="25"/>
      <c r="G209" s="25"/>
      <c r="H209" s="25"/>
      <c r="I209" s="115"/>
      <c r="J209" s="115"/>
      <c r="K209" s="25"/>
      <c r="L209" s="25"/>
      <c r="M209" s="25"/>
      <c r="N209" s="25"/>
      <c r="O209" s="25"/>
      <c r="P209" s="25"/>
      <c r="Q209" s="25"/>
      <c r="R209" s="25"/>
    </row>
    <row r="210" spans="2:18" x14ac:dyDescent="0.3">
      <c r="B210" s="24"/>
      <c r="C210" s="24"/>
      <c r="D210" s="24"/>
      <c r="E210" s="24"/>
      <c r="F210" s="25"/>
      <c r="G210" s="25"/>
      <c r="H210" s="25"/>
      <c r="I210" s="115"/>
      <c r="J210" s="115"/>
      <c r="K210" s="25"/>
      <c r="L210" s="25"/>
      <c r="M210" s="25"/>
      <c r="N210" s="25"/>
      <c r="O210" s="25"/>
      <c r="P210" s="25"/>
      <c r="Q210" s="25"/>
      <c r="R210" s="25"/>
    </row>
    <row r="211" spans="2:18" x14ac:dyDescent="0.3">
      <c r="B211" s="24"/>
      <c r="C211" s="24"/>
      <c r="D211" s="24"/>
      <c r="E211" s="24"/>
      <c r="F211" s="25"/>
      <c r="G211" s="25"/>
      <c r="H211" s="25"/>
      <c r="I211" s="115"/>
      <c r="J211" s="115"/>
      <c r="K211" s="25"/>
      <c r="L211" s="25"/>
      <c r="M211" s="25"/>
      <c r="N211" s="25"/>
      <c r="O211" s="25"/>
      <c r="P211" s="25"/>
      <c r="Q211" s="25"/>
      <c r="R211" s="25"/>
    </row>
    <row r="212" spans="2:18" x14ac:dyDescent="0.3">
      <c r="B212" s="24"/>
      <c r="C212" s="24"/>
      <c r="D212" s="24"/>
      <c r="E212" s="24"/>
      <c r="F212" s="25"/>
      <c r="G212" s="25"/>
      <c r="H212" s="25"/>
      <c r="I212" s="115"/>
      <c r="J212" s="115"/>
      <c r="K212" s="25"/>
      <c r="L212" s="25"/>
      <c r="M212" s="25"/>
      <c r="N212" s="25"/>
      <c r="O212" s="25"/>
      <c r="P212" s="25"/>
      <c r="Q212" s="25"/>
      <c r="R212" s="25"/>
    </row>
    <row r="213" spans="2:18" x14ac:dyDescent="0.3">
      <c r="B213" s="24"/>
      <c r="C213" s="24"/>
      <c r="D213" s="24"/>
      <c r="E213" s="24"/>
      <c r="F213" s="25"/>
      <c r="G213" s="25"/>
      <c r="H213" s="25"/>
      <c r="I213" s="115"/>
      <c r="J213" s="115"/>
      <c r="K213" s="25"/>
      <c r="L213" s="25"/>
      <c r="M213" s="25"/>
      <c r="N213" s="25"/>
      <c r="O213" s="25"/>
      <c r="P213" s="25"/>
      <c r="Q213" s="25"/>
      <c r="R213" s="25"/>
    </row>
    <row r="214" spans="2:18" x14ac:dyDescent="0.3">
      <c r="B214" s="24"/>
      <c r="C214" s="24"/>
      <c r="D214" s="24"/>
      <c r="E214" s="24"/>
      <c r="F214" s="25"/>
      <c r="G214" s="25"/>
      <c r="H214" s="25"/>
      <c r="I214" s="115"/>
      <c r="J214" s="115"/>
      <c r="K214" s="25"/>
      <c r="L214" s="25"/>
      <c r="M214" s="25"/>
      <c r="N214" s="25"/>
      <c r="O214" s="25"/>
      <c r="P214" s="25"/>
      <c r="Q214" s="25"/>
      <c r="R214" s="25"/>
    </row>
    <row r="215" spans="2:18" x14ac:dyDescent="0.3">
      <c r="B215" s="24"/>
      <c r="C215" s="24"/>
      <c r="D215" s="24"/>
      <c r="E215" s="24"/>
      <c r="F215" s="25"/>
      <c r="G215" s="25"/>
      <c r="H215" s="25"/>
      <c r="I215" s="115"/>
      <c r="J215" s="115"/>
      <c r="K215" s="25"/>
      <c r="L215" s="25"/>
      <c r="M215" s="25"/>
      <c r="N215" s="25"/>
      <c r="O215" s="25"/>
      <c r="P215" s="25"/>
      <c r="Q215" s="25"/>
      <c r="R215" s="25"/>
    </row>
    <row r="216" spans="2:18" x14ac:dyDescent="0.3">
      <c r="B216" s="24"/>
      <c r="C216" s="24"/>
      <c r="D216" s="24"/>
      <c r="E216" s="24"/>
      <c r="F216" s="25"/>
      <c r="G216" s="25"/>
      <c r="H216" s="25"/>
      <c r="I216" s="115"/>
      <c r="J216" s="115"/>
      <c r="K216" s="25"/>
      <c r="L216" s="25"/>
      <c r="M216" s="25"/>
      <c r="N216" s="25"/>
      <c r="O216" s="25"/>
      <c r="P216" s="25"/>
      <c r="Q216" s="25"/>
      <c r="R216" s="25"/>
    </row>
    <row r="217" spans="2:18" x14ac:dyDescent="0.3">
      <c r="B217" s="24"/>
      <c r="C217" s="24"/>
      <c r="D217" s="24"/>
      <c r="E217" s="24"/>
      <c r="F217" s="25"/>
      <c r="G217" s="25"/>
      <c r="H217" s="25"/>
      <c r="I217" s="115"/>
      <c r="J217" s="115"/>
      <c r="K217" s="25"/>
      <c r="L217" s="25"/>
      <c r="M217" s="25"/>
      <c r="N217" s="25"/>
      <c r="O217" s="25"/>
      <c r="P217" s="25"/>
      <c r="Q217" s="25"/>
      <c r="R217" s="25"/>
    </row>
  </sheetData>
  <mergeCells count="2">
    <mergeCell ref="A3:E3"/>
    <mergeCell ref="A4:E4"/>
  </mergeCells>
  <phoneticPr fontId="3" type="noConversion"/>
  <printOptions horizontalCentered="1" verticalCentered="1"/>
  <pageMargins left="0.35" right="0.25" top="0.98425196850393704" bottom="0.54" header="0.511811023622047" footer="0.511811023622047"/>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outlinePr applyStyles="1" summaryBelow="0"/>
    <pageSetUpPr fitToPage="1"/>
  </sheetPr>
  <dimension ref="A2:T6"/>
  <sheetViews>
    <sheetView workbookViewId="0">
      <selection activeCell="A4" sqref="A4"/>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6.75" customHeight="1" x14ac:dyDescent="0.45">
      <c r="A2" s="289" t="s">
        <v>166</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outlinePr applyStyles="1" summaryBelow="0"/>
    <pageSetUpPr fitToPage="1"/>
  </sheetPr>
  <dimension ref="A2:T6"/>
  <sheetViews>
    <sheetView workbookViewId="0">
      <selection activeCell="A2" sqref="A2:D2"/>
    </sheetView>
  </sheetViews>
  <sheetFormatPr defaultColWidth="9.1796875" defaultRowHeight="13" x14ac:dyDescent="0.3"/>
  <cols>
    <col min="1" max="1" width="54.26953125" style="21" bestFit="1" customWidth="1"/>
    <col min="2" max="2" width="10.54296875" style="21" bestFit="1" customWidth="1"/>
    <col min="3" max="3" width="11.453125" style="21" bestFit="1" customWidth="1"/>
    <col min="4" max="4" width="6.26953125" style="21" bestFit="1" customWidth="1"/>
    <col min="5" max="5" width="7.54296875" style="21" hidden="1" customWidth="1"/>
    <col min="6" max="6" width="9.1796875" style="21" customWidth="1"/>
    <col min="7" max="16384" width="9.1796875" style="21"/>
  </cols>
  <sheetData>
    <row r="2" spans="1:20" ht="35.25" customHeight="1" x14ac:dyDescent="0.45">
      <c r="A2" s="289" t="s">
        <v>167</v>
      </c>
      <c r="B2" s="290"/>
      <c r="C2" s="290"/>
      <c r="D2" s="290"/>
      <c r="E2" s="25"/>
      <c r="F2" s="25"/>
      <c r="G2" s="25"/>
      <c r="H2" s="25"/>
      <c r="I2" s="25"/>
      <c r="J2" s="25"/>
      <c r="K2" s="25"/>
      <c r="L2" s="25"/>
      <c r="M2" s="25"/>
      <c r="N2" s="25"/>
      <c r="O2" s="25"/>
      <c r="P2" s="25"/>
      <c r="Q2" s="25"/>
      <c r="R2" s="25"/>
      <c r="S2" s="25"/>
      <c r="T2" s="25"/>
    </row>
    <row r="3" spans="1:20" x14ac:dyDescent="0.3">
      <c r="A3" s="23"/>
    </row>
    <row r="5" spans="1:20" s="26" customFormat="1" x14ac:dyDescent="0.3">
      <c r="D5" s="36"/>
    </row>
    <row r="6" spans="1:20" s="52"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outlinePr applyStyles="1" summaryBelow="0"/>
    <pageSetUpPr fitToPage="1"/>
  </sheetPr>
  <dimension ref="A2:T5"/>
  <sheetViews>
    <sheetView workbookViewId="0">
      <selection activeCell="A2" sqref="A2:G2"/>
    </sheetView>
  </sheetViews>
  <sheetFormatPr defaultColWidth="9.1796875" defaultRowHeight="13" x14ac:dyDescent="0.3"/>
  <cols>
    <col min="1" max="1" width="77.26953125" style="21" bestFit="1" customWidth="1"/>
    <col min="2" max="7" width="8.7265625" style="21" bestFit="1" customWidth="1"/>
    <col min="8" max="8" width="7.54296875" style="21" hidden="1" customWidth="1"/>
    <col min="9" max="9" width="9.1796875" style="21" customWidth="1"/>
    <col min="10" max="16384" width="9.1796875" style="21"/>
  </cols>
  <sheetData>
    <row r="2" spans="1:20" ht="18.5" x14ac:dyDescent="0.45">
      <c r="A2" s="278" t="str">
        <f>DEBT_LAST_5_YEARS</f>
        <v>Державний та гарантований державою борг України за останні 5 років</v>
      </c>
      <c r="B2" s="290"/>
      <c r="C2" s="290"/>
      <c r="D2" s="290"/>
      <c r="E2" s="290"/>
      <c r="F2" s="290"/>
      <c r="G2" s="290"/>
      <c r="H2" s="25"/>
      <c r="I2" s="25"/>
      <c r="J2" s="25"/>
      <c r="K2" s="25"/>
      <c r="L2" s="25"/>
      <c r="M2" s="25"/>
      <c r="N2" s="25"/>
      <c r="O2" s="25"/>
      <c r="P2" s="25"/>
      <c r="Q2" s="25"/>
      <c r="R2" s="25"/>
      <c r="S2" s="25"/>
      <c r="T2" s="25"/>
    </row>
    <row r="3" spans="1:20" x14ac:dyDescent="0.3">
      <c r="A3" s="23"/>
    </row>
    <row r="4" spans="1:20" s="26" customFormat="1" x14ac:dyDescent="0.3">
      <c r="G4" s="36" t="s">
        <v>0</v>
      </c>
    </row>
    <row r="5" spans="1:20" s="52" customFormat="1" x14ac:dyDescent="0.25"/>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pageSetUpPr fitToPage="1"/>
  </sheetPr>
  <dimension ref="A8"/>
  <sheetViews>
    <sheetView workbookViewId="0">
      <selection activeCell="L6" sqref="L6"/>
    </sheetView>
  </sheetViews>
  <sheetFormatPr defaultRowHeight="12.5" x14ac:dyDescent="0.25"/>
  <sheetData>
    <row r="8" s="4" customFormat="1"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indexed="14"/>
  </sheetPr>
  <dimension ref="A1:G52"/>
  <sheetViews>
    <sheetView workbookViewId="0">
      <selection activeCell="A10" sqref="A10"/>
    </sheetView>
  </sheetViews>
  <sheetFormatPr defaultRowHeight="12.5" x14ac:dyDescent="0.25"/>
  <cols>
    <col min="1" max="1" width="27.453125" customWidth="1"/>
    <col min="2" max="2" width="20.7265625" customWidth="1"/>
    <col min="3" max="3" width="21.7265625" customWidth="1"/>
    <col min="4" max="6" width="15.1796875" bestFit="1" customWidth="1"/>
    <col min="7" max="7" width="11" bestFit="1" customWidth="1"/>
  </cols>
  <sheetData>
    <row r="1" spans="1:7" x14ac:dyDescent="0.25">
      <c r="A1" t="s">
        <v>208</v>
      </c>
    </row>
    <row r="3" spans="1:7" x14ac:dyDescent="0.25">
      <c r="A3" t="s">
        <v>168</v>
      </c>
      <c r="B3" s="5">
        <v>45657</v>
      </c>
      <c r="C3" s="145" t="s">
        <v>169</v>
      </c>
    </row>
    <row r="4" spans="1:7" x14ac:dyDescent="0.25">
      <c r="A4" t="s">
        <v>170</v>
      </c>
      <c r="B4" s="5" t="s">
        <v>171</v>
      </c>
      <c r="C4" s="145"/>
    </row>
    <row r="5" spans="1:7" x14ac:dyDescent="0.25">
      <c r="A5" t="s">
        <v>172</v>
      </c>
      <c r="B5">
        <v>1000000000</v>
      </c>
      <c r="C5" t="str">
        <f>IF($A$10="UKR",C7,C8 )</f>
        <v>млрд. дол. США</v>
      </c>
      <c r="D5" t="str">
        <f>IF($A$10="UKR",D7,D8 )</f>
        <v>млрд. грн</v>
      </c>
      <c r="E5" t="str">
        <f>IF($A$10="UKR",E7,E8 )</f>
        <v>млрд. одиниць</v>
      </c>
      <c r="F5">
        <f>1000000000/DDELIMER</f>
        <v>1</v>
      </c>
      <c r="G5">
        <f>IF($B$5=1,1000000000,IF($B$5=1000,1000000,IF($B$5=1000000,1000,IF($B$5=1000000000,1))))</f>
        <v>1</v>
      </c>
    </row>
    <row r="6" spans="1:7" x14ac:dyDescent="0.25">
      <c r="A6" t="s">
        <v>173</v>
      </c>
      <c r="B6" t="s">
        <v>174</v>
      </c>
    </row>
    <row r="7" spans="1:7" x14ac:dyDescent="0.25">
      <c r="C7" t="str">
        <f>IF($B$5=1,"дол. США",IF($B$5=1000,"тис. дол. США",IF($B$5=1000000,"млн. дол. США",IF($B$5=1000000000,"млрд. дол. США"))))</f>
        <v>млрд. дол. США</v>
      </c>
      <c r="D7" t="str">
        <f>IF($B$5=1,"грн",IF($B$5=1000,"тис. грн",IF($B$5=1000000,"млн. грн",IF($B$5=1000000000,"млрд. грн"))))</f>
        <v>млрд. грн</v>
      </c>
      <c r="E7" t="str">
        <f>IF($B$5=1,"одиниць",IF($B$5=1000,"тис. одиниць",IF($B$5=1000000,"млн. одиниць",IF($B$5=1000000000,"млрд. одиниць"))))</f>
        <v>млрд. одиниць</v>
      </c>
    </row>
    <row r="8" spans="1:7" x14ac:dyDescent="0.25">
      <c r="C8" t="str">
        <f>IF($B$5=1,"дол. США",IF($B$5=1000,"th USD",IF($B$5=1000000,"ml USD",IF($B$5=1000000000,"bn USD"))))</f>
        <v>bn USD</v>
      </c>
      <c r="D8" t="str">
        <f>IF($B$5=1,"грн",IF($B$5=1000,"th UAH",IF($B$5=1000000,"ml UAH",IF($B$5=1000000000,"bn UAH"))))</f>
        <v>bn UAH</v>
      </c>
      <c r="E8" t="str">
        <f>IF($B$5=1,"одиниць",IF($B$5=1000,"th units",IF($B$5=1000000,"ml units",IF($B$5=1000000000,"bn units"))))</f>
        <v>bn units</v>
      </c>
    </row>
    <row r="9" spans="1:7" x14ac:dyDescent="0.25">
      <c r="A9" t="s">
        <v>175</v>
      </c>
    </row>
    <row r="10" spans="1:7" x14ac:dyDescent="0.25">
      <c r="A10" t="s">
        <v>176</v>
      </c>
    </row>
    <row r="13" spans="1:7" x14ac:dyDescent="0.25">
      <c r="A13">
        <v>1000000000</v>
      </c>
    </row>
    <row r="15" spans="1:7" ht="87.5" x14ac:dyDescent="0.25">
      <c r="A15" t="s">
        <v>177</v>
      </c>
      <c r="B15" s="146"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C15" s="146" t="str">
        <f>IF(REPORT_LANG="UKR","(в розрізі середнього терміну обігу та середньої ставки)","(in terms of average term of circulation and average rate)")</f>
        <v>(в розрізі середнього терміну обігу та середньої ставки)</v>
      </c>
      <c r="D15" s="146" t="str">
        <f>IF(REPORT_LANG="UKR","Державний та гарантований державою борг України за останні 5 років","State debt and state guaranteed debt of Ukraine for the last 5 years") &amp; "
(" &amp; VALUSD &amp; ")"</f>
        <v>Державний та гарантований державою борг України за останні 5 років
(млрд. дол. США)</v>
      </c>
      <c r="E15" s="146" t="str">
        <f>IF(REPORT_LANG="UKR","Державний та гарантований державою борг України за останні 5 років","State debt and state guaranteed debt of Ukraine for the last 5 years") &amp; "
(" &amp; VALUAH &amp; ")"</f>
        <v>Державний та гарантований державою борг України за останні 5 років
(млрд. грн)</v>
      </c>
      <c r="F15" s="146" t="str">
        <f>IF(REPORT_LANG="UKR","Динаміка державного боргу за останні 5 років
(відсоткова структура)","State debt dynamics over the past 5 years
(percentage structure)")</f>
        <v>Динаміка державного боргу за останні 5 років
(відсоткова структура)</v>
      </c>
    </row>
    <row r="16" spans="1:7" ht="87.5" x14ac:dyDescent="0.25">
      <c r="B16" s="146" t="str">
        <f>IF(REPORT_LANG="UKR","Державний та гарантований державою борг України
станом на ","State debt and state guaranteed debt of Ukraine
as of ") &amp; STRPRESENTDATE</f>
        <v>Державний та гарантований державою борг України
станом на 31.12.2024</v>
      </c>
      <c r="C16" s="146" t="str">
        <f>IF(REPORT_LANG="UKR","Державний та гарантований державою борг України
станом на " &amp; STRPRESENTDATE &amp; "
(в розрізі середнього терміну обігу та середньої ставки)","State debt and state guaranteed debt of Ukraine
as of " &amp; STRPRESENTDATE &amp; "
(in terms of average term of circulation and average rate)")</f>
        <v>Державний та гарантований державою борг України
станом на 31.12.2024
(в розрізі середнього терміну обігу та середньої ставки)</v>
      </c>
      <c r="D16" s="146" t="str">
        <f>IF(REPORT_LANG="UKR","(за типом кредитора)","(by creditor type)")</f>
        <v>(за типом кредитора)</v>
      </c>
      <c r="E16" s="146" t="str">
        <f>IF(REPORT_LANG="UKR","(в розрізі валют погашення)","(in terms of repayment currencies)")</f>
        <v>(в розрізі валют погашення)</v>
      </c>
      <c r="F16" s="146" t="str">
        <f>IF(REPORT_LANG="UKR","(за видами відсоткових ставок)","(by types of interest rates)")</f>
        <v>(за видами відсоткових ставок)</v>
      </c>
    </row>
    <row r="17" spans="2:7" ht="62.5" x14ac:dyDescent="0.25">
      <c r="B17" s="146" t="str">
        <f>IF(REPORT_LANG="UKR","Структура державного та гарантованого державою боргу
в розрізі термінів погашення","The structure of state and state-guaranteed debt
in terms of repayment terms")</f>
        <v>Структура державного та гарантованого державою боргу
в розрізі термінів погашення</v>
      </c>
    </row>
    <row r="18" spans="2:7" x14ac:dyDescent="0.25">
      <c r="B18" t="str">
        <f>IF(REPORT_LANG="UKR","дол.США","USD")</f>
        <v>дол.США</v>
      </c>
    </row>
    <row r="19" spans="2:7" x14ac:dyDescent="0.25">
      <c r="B19" t="str">
        <f>IF(REPORT_LANG="UKR","грн.","UAH")</f>
        <v>грн.</v>
      </c>
    </row>
    <row r="20" spans="2:7" ht="50" x14ac:dyDescent="0.25">
      <c r="B20" s="146" t="str">
        <f>IF(REPORT_LANG="UKR","Структура боргу за ознакою умовності
на кінець попереднього року та на звітну дату","Debt structure based on characteristic of conventionality
at the end of the previous year and on the reporting date")</f>
        <v>Структура боргу за ознакою умовності
на кінець попереднього року та на звітну дату</v>
      </c>
    </row>
    <row r="21" spans="2:7" x14ac:dyDescent="0.25">
      <c r="B21" t="str">
        <f>IF(REPORT_LANG="UKR","Зміна структури","Change of structure")</f>
        <v>Зміна структури</v>
      </c>
    </row>
    <row r="22" spans="2:7" ht="50" x14ac:dyDescent="0.25">
      <c r="B22" s="146" t="str">
        <f>IF(REPORT_LANG="UKR","Валютна структура боргу на кінець попереднього року та на звітну дату","Currency structure of debt at the end of the previous year and at the reporting date")</f>
        <v>Валютна структура боргу на кінець попереднього року та на звітну дату</v>
      </c>
      <c r="C22" s="146" t="str">
        <f>IF(REPORT_LANG="UKR","(розширений)","(extended)")</f>
        <v>(розширений)</v>
      </c>
    </row>
    <row r="23" spans="2:7" x14ac:dyDescent="0.25">
      <c r="B23" t="str">
        <f>IF(REPORT_LANG="UKR","оріг.","original")</f>
        <v>оріг.</v>
      </c>
    </row>
    <row r="24" spans="2:7" x14ac:dyDescent="0.25">
      <c r="B24" t="str">
        <f>IF(REPORT_LANG="UKR","курс до USD","exchange rate to USD")</f>
        <v>курс до USD</v>
      </c>
    </row>
    <row r="25" spans="2:7" x14ac:dyDescent="0.25">
      <c r="B25" t="str">
        <f>IF(REPORT_LANG="UKR","курс до UAH","exchange rate to UAH")</f>
        <v>курс до UAH</v>
      </c>
    </row>
    <row r="26" spans="2:7" ht="50" x14ac:dyDescent="0.25">
      <c r="B26" s="146" t="str">
        <f>IF(REPORT_LANG="UKR","Структура боргу за типом ставки на кінець попереднього року та звітну дату","Debt structure by rate type at the end of the previous year and reporting date")</f>
        <v>Структура боргу за типом ставки на кінець попереднього року та звітну дату</v>
      </c>
    </row>
    <row r="27" spans="2:7" ht="50" x14ac:dyDescent="0.25">
      <c r="B27" s="146"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row>
    <row r="28" spans="2:7" ht="50" x14ac:dyDescent="0.25">
      <c r="B28" s="146" t="str">
        <f>IF(REPORT_LANG="UKR","Загальна сума державного та гарантованого державою боргу","The total amount of state and state-guaranteed debt")</f>
        <v>Загальна сума державного та гарантованого державою боргу</v>
      </c>
      <c r="C28" s="146" t="str">
        <f>IF(REPORT_LANG="UKR","Державний та гарантований державою борг України","State and state-guaranteed debt of Ukraine")</f>
        <v>Державний та гарантований державою борг України</v>
      </c>
    </row>
    <row r="29" spans="2:7" x14ac:dyDescent="0.25">
      <c r="B29" s="146" t="str">
        <f>IF(REPORT_LANG="UKR","В тому числі:","Including:")</f>
        <v>В тому числі:</v>
      </c>
    </row>
    <row r="30" spans="2:7" ht="37.5" x14ac:dyDescent="0.25">
      <c r="B30" s="146" t="str">
        <f>IF(REPORT_LANG="UKR","Середня ставка,
%","average rate,
%")</f>
        <v>Середня ставка,
%</v>
      </c>
      <c r="C30" s="146" t="str">
        <f>IF(REPORT_LANG="UKR","Середній термін обігу, років.","Average term of circulation, years.")</f>
        <v>Середній термін обігу, років.</v>
      </c>
      <c r="D30" s="146" t="str">
        <f>IF(REPORT_LANG="UKR","Середній термін до погашення, років.","Average term to repayment, years.")</f>
        <v>Середній термін до погашення, років.</v>
      </c>
      <c r="E30" s="146" t="str">
        <f>IF(REPORT_LANG="UKR","Сума боргу","Amount of debt")</f>
        <v>Сума боргу</v>
      </c>
      <c r="F30" s="146"/>
      <c r="G30" s="146"/>
    </row>
    <row r="31" spans="2:7" x14ac:dyDescent="0.25">
      <c r="B31" s="146"/>
    </row>
    <row r="32" spans="2:7" x14ac:dyDescent="0.25">
      <c r="B32" s="146"/>
    </row>
    <row r="33" spans="2:2" x14ac:dyDescent="0.25">
      <c r="B33" s="146"/>
    </row>
    <row r="34" spans="2:2" x14ac:dyDescent="0.25">
      <c r="B34" s="146"/>
    </row>
    <row r="35" spans="2:2" x14ac:dyDescent="0.25">
      <c r="B35" s="146"/>
    </row>
    <row r="36" spans="2:2" x14ac:dyDescent="0.25">
      <c r="B36" s="146"/>
    </row>
    <row r="37" spans="2:2" x14ac:dyDescent="0.25">
      <c r="B37" s="146"/>
    </row>
    <row r="38" spans="2:2" x14ac:dyDescent="0.25">
      <c r="B38" s="146"/>
    </row>
    <row r="39" spans="2:2" x14ac:dyDescent="0.25">
      <c r="B39" s="146"/>
    </row>
    <row r="40" spans="2:2" x14ac:dyDescent="0.25">
      <c r="B40" s="146"/>
    </row>
    <row r="41" spans="2:2" x14ac:dyDescent="0.25">
      <c r="B41" s="146"/>
    </row>
    <row r="42" spans="2:2" x14ac:dyDescent="0.25">
      <c r="B42" s="146"/>
    </row>
    <row r="43" spans="2:2" x14ac:dyDescent="0.25">
      <c r="B43" s="146"/>
    </row>
    <row r="44" spans="2:2" x14ac:dyDescent="0.25">
      <c r="B44" s="146"/>
    </row>
    <row r="45" spans="2:2" x14ac:dyDescent="0.25">
      <c r="B45" s="146"/>
    </row>
    <row r="46" spans="2:2" x14ac:dyDescent="0.25">
      <c r="B46" s="146"/>
    </row>
    <row r="47" spans="2:2" x14ac:dyDescent="0.25">
      <c r="B47" s="146"/>
    </row>
    <row r="48" spans="2:2" x14ac:dyDescent="0.25">
      <c r="B48" s="146"/>
    </row>
    <row r="49" spans="2:2" x14ac:dyDescent="0.25">
      <c r="B49" s="146"/>
    </row>
    <row r="50" spans="2:2" x14ac:dyDescent="0.25">
      <c r="B50" s="146"/>
    </row>
    <row r="51" spans="2:2" x14ac:dyDescent="0.25">
      <c r="B51" s="146"/>
    </row>
    <row r="52" spans="2:2" x14ac:dyDescent="0.25">
      <c r="B52" s="146"/>
    </row>
  </sheetData>
  <phoneticPr fontId="3" type="noConversion"/>
  <pageMargins left="0.75" right="0.75" top="1" bottom="1" header="0.5" footer="0.5"/>
  <pageSetup paperSize="9" orientation="portrait"/>
  <headerFooter alignWithMargins="0"/>
  <ignoredErrors>
    <ignoredError sqref="C15"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pageSetUpPr fitToPage="1"/>
  </sheetPr>
  <dimension ref="A7:A8"/>
  <sheetViews>
    <sheetView workbookViewId="0">
      <selection activeCell="Q12" sqref="Q12"/>
    </sheetView>
  </sheetViews>
  <sheetFormatPr defaultRowHeight="12.5" x14ac:dyDescent="0.25"/>
  <sheetData>
    <row r="7" s="2" customFormat="1" ht="13" x14ac:dyDescent="0.3"/>
    <row r="8" s="3" customFormat="1" ht="10"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tabColor indexed="57"/>
    <outlinePr applyStyles="1" summaryBelow="0"/>
    <pageSetUpPr fitToPage="1"/>
  </sheetPr>
  <dimension ref="A1:S180"/>
  <sheetViews>
    <sheetView workbookViewId="0">
      <selection activeCell="A2" sqref="A2:N2"/>
    </sheetView>
  </sheetViews>
  <sheetFormatPr defaultColWidth="9.1796875" defaultRowHeight="10.5" outlineLevelRow="4" x14ac:dyDescent="0.25"/>
  <cols>
    <col min="1" max="1" width="52" style="7" customWidth="1"/>
    <col min="2" max="14" width="15.1796875" style="8" customWidth="1"/>
    <col min="15" max="15" width="9.1796875" style="7" customWidth="1"/>
    <col min="16" max="16384" width="9.1796875" style="7"/>
  </cols>
  <sheetData>
    <row r="1" spans="1:19" s="21" customFormat="1" ht="13" x14ac:dyDescent="0.3">
      <c r="B1" s="22"/>
      <c r="C1" s="22"/>
      <c r="D1" s="22"/>
      <c r="E1" s="22"/>
      <c r="F1" s="22"/>
      <c r="G1" s="22"/>
      <c r="H1" s="22"/>
      <c r="I1" s="22"/>
      <c r="J1" s="22"/>
      <c r="K1" s="22"/>
      <c r="L1" s="22"/>
      <c r="M1" s="22"/>
      <c r="N1" s="22"/>
    </row>
    <row r="2" spans="1:19" s="21" customFormat="1" ht="18.5" x14ac:dyDescent="0.3">
      <c r="A2" s="278"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c r="B2" s="278"/>
      <c r="C2" s="278"/>
      <c r="D2" s="278"/>
      <c r="E2" s="278"/>
      <c r="F2" s="278"/>
      <c r="G2" s="278"/>
      <c r="H2" s="278"/>
      <c r="I2" s="278"/>
      <c r="J2" s="278"/>
      <c r="K2" s="278"/>
      <c r="L2" s="278"/>
      <c r="M2" s="278"/>
      <c r="N2" s="278"/>
      <c r="O2" s="6"/>
      <c r="P2" s="6"/>
      <c r="Q2" s="6"/>
      <c r="R2" s="6"/>
      <c r="S2" s="6"/>
    </row>
    <row r="3" spans="1:19" s="21" customFormat="1" ht="13" x14ac:dyDescent="0.3">
      <c r="A3" s="23"/>
      <c r="B3" s="22"/>
      <c r="C3" s="22"/>
      <c r="D3" s="22"/>
      <c r="E3" s="22"/>
      <c r="F3" s="22"/>
      <c r="G3" s="22"/>
      <c r="H3" s="22"/>
      <c r="I3" s="22"/>
      <c r="J3" s="22"/>
      <c r="K3" s="22"/>
      <c r="L3" s="22"/>
      <c r="M3" s="22"/>
      <c r="N3" s="22"/>
    </row>
    <row r="4" spans="1:19" s="26" customFormat="1" ht="13" x14ac:dyDescent="0.3">
      <c r="B4" s="27"/>
      <c r="C4" s="27"/>
      <c r="D4" s="27"/>
      <c r="E4" s="27"/>
      <c r="F4" s="27"/>
      <c r="G4" s="27"/>
      <c r="H4" s="27"/>
      <c r="I4" s="27"/>
      <c r="J4" s="27"/>
      <c r="K4" s="27"/>
      <c r="L4" s="27"/>
      <c r="M4" s="27"/>
      <c r="N4" s="27" t="str">
        <f>VALUSD</f>
        <v>млрд. дол. США</v>
      </c>
    </row>
    <row r="5" spans="1:19" s="13" customFormat="1" ht="13" x14ac:dyDescent="0.25">
      <c r="A5" s="11"/>
      <c r="B5" s="12">
        <v>45291</v>
      </c>
      <c r="C5" s="12">
        <v>45322</v>
      </c>
      <c r="D5" s="12">
        <v>45351</v>
      </c>
      <c r="E5" s="12">
        <v>45382</v>
      </c>
      <c r="F5" s="12">
        <v>45412</v>
      </c>
      <c r="G5" s="12">
        <v>45443</v>
      </c>
      <c r="H5" s="12">
        <v>45473</v>
      </c>
      <c r="I5" s="12">
        <v>45504</v>
      </c>
      <c r="J5" s="12">
        <v>45535</v>
      </c>
      <c r="K5" s="12">
        <v>45565</v>
      </c>
      <c r="L5" s="12">
        <v>45596</v>
      </c>
      <c r="M5" s="12">
        <v>45626</v>
      </c>
      <c r="N5" s="12">
        <v>45657</v>
      </c>
    </row>
    <row r="6" spans="1:19" s="14" customFormat="1" ht="31" x14ac:dyDescent="0.25">
      <c r="A6" s="140"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0">
        <f t="shared" ref="B6:N6" si="0">B$87+B$7</f>
        <v>145.32087120895997</v>
      </c>
      <c r="C6" s="20">
        <f t="shared" si="0"/>
        <v>144.90037620069</v>
      </c>
      <c r="D6" s="20">
        <f t="shared" si="0"/>
        <v>143.69020185762</v>
      </c>
      <c r="E6" s="20">
        <f t="shared" si="0"/>
        <v>151.04978486444998</v>
      </c>
      <c r="F6" s="20">
        <f t="shared" si="0"/>
        <v>151.52250144753003</v>
      </c>
      <c r="G6" s="20">
        <f t="shared" si="0"/>
        <v>150.99711427117003</v>
      </c>
      <c r="H6" s="20">
        <f t="shared" si="0"/>
        <v>152.15727108812001</v>
      </c>
      <c r="I6" s="20">
        <f t="shared" si="0"/>
        <v>155.35277600815002</v>
      </c>
      <c r="J6" s="20">
        <f t="shared" si="0"/>
        <v>154.71663418818</v>
      </c>
      <c r="K6" s="20">
        <f t="shared" si="0"/>
        <v>155.71784785976999</v>
      </c>
      <c r="L6" s="20">
        <f t="shared" si="0"/>
        <v>155.39753595201</v>
      </c>
      <c r="M6" s="20">
        <f t="shared" si="0"/>
        <v>159.77132908442999</v>
      </c>
      <c r="N6" s="20">
        <f t="shared" si="0"/>
        <v>166.05851744312002</v>
      </c>
    </row>
    <row r="7" spans="1:19" s="126" customFormat="1" ht="14.5" outlineLevel="1" x14ac:dyDescent="0.25">
      <c r="A7" s="167" t="s">
        <v>1</v>
      </c>
      <c r="B7" s="168">
        <f t="shared" ref="B7:N7" si="1">B$8+B$44</f>
        <v>136.59196737240998</v>
      </c>
      <c r="C7" s="168">
        <f t="shared" si="1"/>
        <v>136.08967760122002</v>
      </c>
      <c r="D7" s="168">
        <f t="shared" si="1"/>
        <v>135.24114610421</v>
      </c>
      <c r="E7" s="168">
        <f t="shared" si="1"/>
        <v>143.09929809056999</v>
      </c>
      <c r="F7" s="168">
        <f t="shared" si="1"/>
        <v>143.67824651477002</v>
      </c>
      <c r="G7" s="168">
        <f t="shared" si="1"/>
        <v>143.15429573088002</v>
      </c>
      <c r="H7" s="168">
        <f t="shared" si="1"/>
        <v>144.31488679412001</v>
      </c>
      <c r="I7" s="168">
        <f t="shared" si="1"/>
        <v>147.45776710742001</v>
      </c>
      <c r="J7" s="168">
        <f t="shared" si="1"/>
        <v>147.60427772817999</v>
      </c>
      <c r="K7" s="168">
        <f t="shared" si="1"/>
        <v>148.74319034476</v>
      </c>
      <c r="L7" s="168">
        <f t="shared" si="1"/>
        <v>148.63548404817001</v>
      </c>
      <c r="M7" s="168">
        <f t="shared" si="1"/>
        <v>153.05552274811998</v>
      </c>
      <c r="N7" s="168">
        <f t="shared" si="1"/>
        <v>159.19557804599003</v>
      </c>
    </row>
    <row r="8" spans="1:19" s="16" customFormat="1" ht="14.5" outlineLevel="2" x14ac:dyDescent="0.25">
      <c r="A8" s="169" t="s">
        <v>57</v>
      </c>
      <c r="B8" s="170">
        <f t="shared" ref="B8:N8" si="2">B$9+B$42</f>
        <v>41.80087579141999</v>
      </c>
      <c r="C8" s="170">
        <f t="shared" si="2"/>
        <v>42.314485801730022</v>
      </c>
      <c r="D8" s="170">
        <f t="shared" si="2"/>
        <v>41.834291721069995</v>
      </c>
      <c r="E8" s="170">
        <f t="shared" si="2"/>
        <v>41.247796926599989</v>
      </c>
      <c r="F8" s="170">
        <f t="shared" si="2"/>
        <v>41.430053931530004</v>
      </c>
      <c r="G8" s="170">
        <f t="shared" si="2"/>
        <v>40.402424229060017</v>
      </c>
      <c r="H8" s="170">
        <f t="shared" si="2"/>
        <v>40.520150901300006</v>
      </c>
      <c r="I8" s="170">
        <f t="shared" si="2"/>
        <v>40.733795880919999</v>
      </c>
      <c r="J8" s="170">
        <f t="shared" si="2"/>
        <v>40.797198247870007</v>
      </c>
      <c r="K8" s="170">
        <f t="shared" si="2"/>
        <v>42.000325517359997</v>
      </c>
      <c r="L8" s="170">
        <f t="shared" si="2"/>
        <v>42.708594487740001</v>
      </c>
      <c r="M8" s="170">
        <f t="shared" si="2"/>
        <v>43.465843219649997</v>
      </c>
      <c r="N8" s="170">
        <f t="shared" si="2"/>
        <v>44.319135028530013</v>
      </c>
    </row>
    <row r="9" spans="1:19" s="17" customFormat="1" ht="13" outlineLevel="3" x14ac:dyDescent="0.25">
      <c r="A9" s="171" t="s">
        <v>58</v>
      </c>
      <c r="B9" s="172">
        <f t="shared" ref="B9:N9" si="3">SUM(B$10:B$41)</f>
        <v>41.759092484669992</v>
      </c>
      <c r="C9" s="172">
        <f t="shared" si="3"/>
        <v>42.27258356988002</v>
      </c>
      <c r="D9" s="172">
        <f t="shared" si="3"/>
        <v>41.792754798659992</v>
      </c>
      <c r="E9" s="172">
        <f t="shared" si="3"/>
        <v>41.207333550219985</v>
      </c>
      <c r="F9" s="172">
        <f t="shared" si="3"/>
        <v>41.390880396170004</v>
      </c>
      <c r="G9" s="172">
        <f t="shared" si="3"/>
        <v>40.364054764800017</v>
      </c>
      <c r="H9" s="172">
        <f t="shared" si="3"/>
        <v>40.481816742240007</v>
      </c>
      <c r="I9" s="172">
        <f t="shared" si="3"/>
        <v>40.696726971069999</v>
      </c>
      <c r="J9" s="172">
        <f t="shared" si="3"/>
        <v>40.760274229500006</v>
      </c>
      <c r="K9" s="172">
        <f t="shared" si="3"/>
        <v>41.96418339956</v>
      </c>
      <c r="L9" s="172">
        <f t="shared" si="3"/>
        <v>42.672550957650003</v>
      </c>
      <c r="M9" s="172">
        <f t="shared" si="3"/>
        <v>43.43007403064</v>
      </c>
      <c r="N9" s="172">
        <f t="shared" si="3"/>
        <v>44.284529596720013</v>
      </c>
    </row>
    <row r="10" spans="1:19" s="19" customFormat="1" ht="13" outlineLevel="4" x14ac:dyDescent="0.25">
      <c r="A10" s="173" t="s">
        <v>59</v>
      </c>
      <c r="B10" s="165">
        <v>1.9851676302800001</v>
      </c>
      <c r="C10" s="165">
        <v>1.9908178832200001</v>
      </c>
      <c r="D10" s="165">
        <v>1.97346165824</v>
      </c>
      <c r="E10" s="165">
        <v>1.8714638181900001</v>
      </c>
      <c r="F10" s="165">
        <v>1.7873349080700001</v>
      </c>
      <c r="G10" s="165">
        <v>1.7506482946799999</v>
      </c>
      <c r="H10" s="165">
        <v>1.74903745675</v>
      </c>
      <c r="I10" s="165">
        <v>1.72807668216</v>
      </c>
      <c r="J10" s="165">
        <v>1.7213221380899999</v>
      </c>
      <c r="K10" s="165">
        <v>1.69219147171</v>
      </c>
      <c r="L10" s="165">
        <v>1.29921846459</v>
      </c>
      <c r="M10" s="165">
        <v>1.2893296165899999</v>
      </c>
      <c r="N10" s="165">
        <v>1.39466778468</v>
      </c>
    </row>
    <row r="11" spans="1:19" ht="13" outlineLevel="4" x14ac:dyDescent="0.3">
      <c r="A11" s="174" t="s">
        <v>60</v>
      </c>
      <c r="B11" s="175">
        <v>0.46160853447</v>
      </c>
      <c r="C11" s="175">
        <v>0.46292238071000003</v>
      </c>
      <c r="D11" s="175">
        <v>0.45888655953000002</v>
      </c>
      <c r="E11" s="175">
        <v>0.44702636826999997</v>
      </c>
      <c r="F11" s="175">
        <v>0.44198463277</v>
      </c>
      <c r="G11" s="175">
        <v>0.43291251133999997</v>
      </c>
      <c r="H11" s="175">
        <v>0.43251417210999998</v>
      </c>
      <c r="I11" s="175">
        <v>0.42733084567000001</v>
      </c>
      <c r="J11" s="175">
        <v>0.42566053495</v>
      </c>
      <c r="K11" s="175">
        <v>0.42590559293000002</v>
      </c>
      <c r="L11" s="175">
        <v>0.42474381648999998</v>
      </c>
      <c r="M11" s="175">
        <v>0.42151092903999998</v>
      </c>
      <c r="N11" s="175">
        <v>0.41706510620999998</v>
      </c>
      <c r="O11" s="10"/>
      <c r="P11" s="10"/>
      <c r="Q11" s="10"/>
    </row>
    <row r="12" spans="1:19" ht="13" outlineLevel="4" x14ac:dyDescent="0.3">
      <c r="A12" s="174" t="s">
        <v>61</v>
      </c>
      <c r="B12" s="175">
        <v>3.2715826405300001</v>
      </c>
      <c r="C12" s="175">
        <v>3.3206659245300001</v>
      </c>
      <c r="D12" s="175">
        <v>3.31054103063</v>
      </c>
      <c r="E12" s="175">
        <v>3.0223555772999999</v>
      </c>
      <c r="F12" s="175">
        <v>3.0082458247499999</v>
      </c>
      <c r="G12" s="175">
        <v>2.1435539591900001</v>
      </c>
      <c r="H12" s="175">
        <v>1.8264962308899999</v>
      </c>
      <c r="I12" s="175">
        <v>1.8227832268999999</v>
      </c>
      <c r="J12" s="175">
        <v>1.8233420894200001</v>
      </c>
      <c r="K12" s="175">
        <v>1.48495798677</v>
      </c>
      <c r="L12" s="175">
        <v>0.78086108470000004</v>
      </c>
      <c r="M12" s="175">
        <v>9.1540173559999993E-2</v>
      </c>
      <c r="N12" s="175">
        <v>9.0706825079999998E-2</v>
      </c>
      <c r="O12" s="10"/>
      <c r="P12" s="10"/>
      <c r="Q12" s="10"/>
    </row>
    <row r="13" spans="1:19" ht="13" outlineLevel="4" x14ac:dyDescent="0.3">
      <c r="A13" s="174" t="s">
        <v>62</v>
      </c>
      <c r="B13" s="175">
        <v>1.3163991743700001</v>
      </c>
      <c r="C13" s="175">
        <v>1.3201459553599999</v>
      </c>
      <c r="D13" s="175">
        <v>1.3086367407599999</v>
      </c>
      <c r="E13" s="175">
        <v>1.27481425953</v>
      </c>
      <c r="F13" s="175">
        <v>1.2604364135099999</v>
      </c>
      <c r="G13" s="175">
        <v>1.23456485291</v>
      </c>
      <c r="H13" s="175">
        <v>1.23342888299</v>
      </c>
      <c r="I13" s="175">
        <v>1.2186472527700001</v>
      </c>
      <c r="J13" s="175">
        <v>1.2138839187399999</v>
      </c>
      <c r="K13" s="175">
        <v>1.21458276652</v>
      </c>
      <c r="L13" s="175">
        <v>1.21126965286</v>
      </c>
      <c r="M13" s="175">
        <v>1.20205021685</v>
      </c>
      <c r="N13" s="175">
        <v>1.18937177385</v>
      </c>
      <c r="O13" s="10"/>
      <c r="P13" s="10"/>
      <c r="Q13" s="10"/>
    </row>
    <row r="14" spans="1:19" ht="13" outlineLevel="4" x14ac:dyDescent="0.3">
      <c r="A14" s="174" t="s">
        <v>63</v>
      </c>
      <c r="B14" s="175">
        <v>0.88725306985999997</v>
      </c>
      <c r="C14" s="175">
        <v>0.88977840030999999</v>
      </c>
      <c r="D14" s="175">
        <v>0.88202118943999996</v>
      </c>
      <c r="E14" s="175">
        <v>0.85922483642000003</v>
      </c>
      <c r="F14" s="175">
        <v>0.84953416791000003</v>
      </c>
      <c r="G14" s="175">
        <v>0.83209673553999997</v>
      </c>
      <c r="H14" s="175">
        <v>0.83133109180999998</v>
      </c>
      <c r="I14" s="175">
        <v>0.82136827274000002</v>
      </c>
      <c r="J14" s="175">
        <v>0.81815778550999996</v>
      </c>
      <c r="K14" s="175">
        <v>0.81862880892000001</v>
      </c>
      <c r="L14" s="175">
        <v>0.81639577025999999</v>
      </c>
      <c r="M14" s="175">
        <v>0.81018187019999999</v>
      </c>
      <c r="N14" s="175">
        <v>0.80163659936999998</v>
      </c>
      <c r="O14" s="10"/>
      <c r="P14" s="10"/>
      <c r="Q14" s="10"/>
    </row>
    <row r="15" spans="1:19" ht="13" outlineLevel="4" x14ac:dyDescent="0.3">
      <c r="A15" s="174" t="s">
        <v>64</v>
      </c>
      <c r="B15" s="175">
        <v>1.23478242557</v>
      </c>
      <c r="C15" s="175">
        <v>1.23829690614</v>
      </c>
      <c r="D15" s="175">
        <v>1.2275012628299999</v>
      </c>
      <c r="E15" s="175">
        <v>1.19577577542</v>
      </c>
      <c r="F15" s="175">
        <v>1.1822893558600001</v>
      </c>
      <c r="G15" s="175">
        <v>1.15802183201</v>
      </c>
      <c r="H15" s="175">
        <v>1.1569562922500001</v>
      </c>
      <c r="I15" s="175">
        <v>1.14309112309</v>
      </c>
      <c r="J15" s="175">
        <v>1.13862311577</v>
      </c>
      <c r="K15" s="175">
        <v>1.1392786349799999</v>
      </c>
      <c r="L15" s="175">
        <v>1.1361709343999999</v>
      </c>
      <c r="M15" s="175">
        <v>1.12752310343</v>
      </c>
      <c r="N15" s="175">
        <v>1.1156307239000001</v>
      </c>
      <c r="O15" s="10"/>
      <c r="P15" s="10"/>
      <c r="Q15" s="10"/>
    </row>
    <row r="16" spans="1:19" ht="13" outlineLevel="4" x14ac:dyDescent="0.3">
      <c r="A16" s="174" t="s">
        <v>65</v>
      </c>
      <c r="B16" s="175">
        <v>6.2424164086299996</v>
      </c>
      <c r="C16" s="175">
        <v>6.2601837907200002</v>
      </c>
      <c r="D16" s="175">
        <v>6.2056066447299996</v>
      </c>
      <c r="E16" s="175">
        <v>6.0452191150300001</v>
      </c>
      <c r="F16" s="175">
        <v>5.9770388063200004</v>
      </c>
      <c r="G16" s="175">
        <v>5.8543548534200003</v>
      </c>
      <c r="H16" s="175">
        <v>5.8489680393699999</v>
      </c>
      <c r="I16" s="175">
        <v>5.7788729706200002</v>
      </c>
      <c r="J16" s="175">
        <v>5.7562850539200001</v>
      </c>
      <c r="K16" s="175">
        <v>5.6891602617699997</v>
      </c>
      <c r="L16" s="175">
        <v>5.6033948739300001</v>
      </c>
      <c r="M16" s="175">
        <v>5.4213214138500003</v>
      </c>
      <c r="N16" s="175">
        <v>5.3641408454299997</v>
      </c>
      <c r="O16" s="10"/>
      <c r="P16" s="10"/>
      <c r="Q16" s="10"/>
    </row>
    <row r="17" spans="1:17" ht="13" outlineLevel="4" x14ac:dyDescent="0.3">
      <c r="A17" s="174" t="s">
        <v>66</v>
      </c>
      <c r="B17" s="175">
        <v>0.31850920426000001</v>
      </c>
      <c r="C17" s="175">
        <v>0.31941575620000001</v>
      </c>
      <c r="D17" s="175">
        <v>0.31663104557999999</v>
      </c>
      <c r="E17" s="175">
        <v>0.30844753120000001</v>
      </c>
      <c r="F17" s="175">
        <v>0.30496874118</v>
      </c>
      <c r="G17" s="175">
        <v>0.29870899084000002</v>
      </c>
      <c r="H17" s="175">
        <v>0.29843413736000002</v>
      </c>
      <c r="I17" s="175">
        <v>0.29485764982000001</v>
      </c>
      <c r="J17" s="175">
        <v>0.29370513788000002</v>
      </c>
      <c r="K17" s="175">
        <v>0.29387422751999998</v>
      </c>
      <c r="L17" s="175">
        <v>0.29307260349999997</v>
      </c>
      <c r="M17" s="175">
        <v>0.29084191597999998</v>
      </c>
      <c r="N17" s="175">
        <v>0.28777430481999999</v>
      </c>
      <c r="O17" s="10"/>
      <c r="P17" s="10"/>
      <c r="Q17" s="10"/>
    </row>
    <row r="18" spans="1:17" ht="13" outlineLevel="4" x14ac:dyDescent="0.3">
      <c r="A18" s="174" t="s">
        <v>67</v>
      </c>
      <c r="B18" s="175">
        <v>0.71342895657000005</v>
      </c>
      <c r="C18" s="175">
        <v>0.71545954280000001</v>
      </c>
      <c r="D18" s="175">
        <v>0.70922206780999997</v>
      </c>
      <c r="E18" s="175">
        <v>0.69089180907000003</v>
      </c>
      <c r="F18" s="175">
        <v>0.68309966522999999</v>
      </c>
      <c r="G18" s="175">
        <v>0.66907844672000005</v>
      </c>
      <c r="H18" s="175">
        <v>0.66846280224999999</v>
      </c>
      <c r="I18" s="175">
        <v>0.66045182566000005</v>
      </c>
      <c r="J18" s="175">
        <v>0.65787031349000002</v>
      </c>
      <c r="K18" s="175">
        <v>0.65824905747999995</v>
      </c>
      <c r="L18" s="175">
        <v>0.65645349935999997</v>
      </c>
      <c r="M18" s="175">
        <v>0.65145698103000005</v>
      </c>
      <c r="N18" s="175">
        <v>0.64458583697000005</v>
      </c>
      <c r="O18" s="10"/>
      <c r="P18" s="10"/>
      <c r="Q18" s="10"/>
    </row>
    <row r="19" spans="1:17" ht="13" outlineLevel="4" x14ac:dyDescent="0.3">
      <c r="A19" s="174" t="s">
        <v>68</v>
      </c>
      <c r="B19" s="175">
        <v>1.5088939048200001</v>
      </c>
      <c r="C19" s="175">
        <v>1.6569779117900001</v>
      </c>
      <c r="D19" s="175">
        <v>2.4148664530900001</v>
      </c>
      <c r="E19" s="175">
        <v>2.6410468793000001</v>
      </c>
      <c r="F19" s="175">
        <v>2.9967794913599999</v>
      </c>
      <c r="G19" s="175">
        <v>3.4261470139100001</v>
      </c>
      <c r="H19" s="175">
        <v>4.0629632066200001</v>
      </c>
      <c r="I19" s="175">
        <v>4.7112597467799997</v>
      </c>
      <c r="J19" s="175">
        <v>4.30832621288</v>
      </c>
      <c r="K19" s="175">
        <v>4.9056178106099999</v>
      </c>
      <c r="L19" s="175">
        <v>6.3223257650800004</v>
      </c>
      <c r="M19" s="175">
        <v>6.47033407154</v>
      </c>
      <c r="N19" s="175">
        <v>6.77509038007</v>
      </c>
      <c r="O19" s="10"/>
      <c r="P19" s="10"/>
      <c r="Q19" s="10"/>
    </row>
    <row r="20" spans="1:17" ht="13" outlineLevel="4" x14ac:dyDescent="0.3">
      <c r="A20" s="174" t="s">
        <v>69</v>
      </c>
      <c r="B20" s="175">
        <v>0.31850920426000001</v>
      </c>
      <c r="C20" s="175">
        <v>0.31941575620000001</v>
      </c>
      <c r="D20" s="175">
        <v>0.31663104557999999</v>
      </c>
      <c r="E20" s="175">
        <v>0.30844753120000001</v>
      </c>
      <c r="F20" s="175">
        <v>0.30496874118</v>
      </c>
      <c r="G20" s="175">
        <v>0.29870899084000002</v>
      </c>
      <c r="H20" s="175">
        <v>0.29843413736000002</v>
      </c>
      <c r="I20" s="175">
        <v>0.29485764982000001</v>
      </c>
      <c r="J20" s="175">
        <v>0.29370513788000002</v>
      </c>
      <c r="K20" s="175">
        <v>0.29387422751999998</v>
      </c>
      <c r="L20" s="175">
        <v>0.29307260349999997</v>
      </c>
      <c r="M20" s="175">
        <v>0.29084191597999998</v>
      </c>
      <c r="N20" s="175">
        <v>0.28777430481999999</v>
      </c>
      <c r="O20" s="10"/>
      <c r="P20" s="10"/>
      <c r="Q20" s="10"/>
    </row>
    <row r="21" spans="1:17" ht="13" outlineLevel="4" x14ac:dyDescent="0.3">
      <c r="A21" s="174" t="s">
        <v>70</v>
      </c>
      <c r="B21" s="175">
        <v>0.31850920426000001</v>
      </c>
      <c r="C21" s="175">
        <v>0.31941575620000001</v>
      </c>
      <c r="D21" s="175">
        <v>0.31663104557999999</v>
      </c>
      <c r="E21" s="175">
        <v>0.30844753120000001</v>
      </c>
      <c r="F21" s="175">
        <v>0.30496874118</v>
      </c>
      <c r="G21" s="175">
        <v>0.29870899084000002</v>
      </c>
      <c r="H21" s="175">
        <v>0.29843413736000002</v>
      </c>
      <c r="I21" s="175">
        <v>0.29485764982000001</v>
      </c>
      <c r="J21" s="175">
        <v>0.29370513788000002</v>
      </c>
      <c r="K21" s="175">
        <v>0.29387422751999998</v>
      </c>
      <c r="L21" s="175">
        <v>0.29307260349999997</v>
      </c>
      <c r="M21" s="175">
        <v>0.29084191597999998</v>
      </c>
      <c r="N21" s="175">
        <v>0.28777430481999999</v>
      </c>
      <c r="O21" s="10"/>
      <c r="P21" s="10"/>
      <c r="Q21" s="10"/>
    </row>
    <row r="22" spans="1:17" ht="13" outlineLevel="4" x14ac:dyDescent="0.3">
      <c r="A22" s="174" t="s">
        <v>71</v>
      </c>
      <c r="B22" s="175">
        <v>5.0738630260099997</v>
      </c>
      <c r="C22" s="175">
        <v>5.2896298574699996</v>
      </c>
      <c r="D22" s="175">
        <v>5.1964198577599996</v>
      </c>
      <c r="E22" s="175">
        <v>5.3634911807999996</v>
      </c>
      <c r="F22" s="175">
        <v>5.3799767323000003</v>
      </c>
      <c r="G22" s="175">
        <v>5.6152261599799997</v>
      </c>
      <c r="H22" s="175">
        <v>5.4547246987199998</v>
      </c>
      <c r="I22" s="175">
        <v>5.5658214535299999</v>
      </c>
      <c r="J22" s="175">
        <v>5.6094111934899997</v>
      </c>
      <c r="K22" s="175">
        <v>6.1006315343999997</v>
      </c>
      <c r="L22" s="175">
        <v>6.3262442888999999</v>
      </c>
      <c r="M22" s="175">
        <v>6.9993229571600004</v>
      </c>
      <c r="N22" s="175">
        <v>6.7944584315099998</v>
      </c>
      <c r="O22" s="10"/>
      <c r="P22" s="10"/>
      <c r="Q22" s="10"/>
    </row>
    <row r="23" spans="1:17" ht="13" outlineLevel="4" x14ac:dyDescent="0.3">
      <c r="A23" s="174" t="s">
        <v>72</v>
      </c>
      <c r="B23" s="175">
        <v>0.31850920426000001</v>
      </c>
      <c r="C23" s="175">
        <v>0.31941575620000001</v>
      </c>
      <c r="D23" s="175">
        <v>0.31663104557999999</v>
      </c>
      <c r="E23" s="175">
        <v>0.30844753120000001</v>
      </c>
      <c r="F23" s="175">
        <v>0.30496874118</v>
      </c>
      <c r="G23" s="175">
        <v>0.29870899084000002</v>
      </c>
      <c r="H23" s="175">
        <v>0.29843413736000002</v>
      </c>
      <c r="I23" s="175">
        <v>0.29485764982000001</v>
      </c>
      <c r="J23" s="175">
        <v>0.29370513788000002</v>
      </c>
      <c r="K23" s="175">
        <v>0.29387422751999998</v>
      </c>
      <c r="L23" s="175">
        <v>0.29307260349999997</v>
      </c>
      <c r="M23" s="175">
        <v>0.29084191597999998</v>
      </c>
      <c r="N23" s="175">
        <v>0.28777430481999999</v>
      </c>
      <c r="O23" s="10"/>
      <c r="P23" s="10"/>
      <c r="Q23" s="10"/>
    </row>
    <row r="24" spans="1:17" ht="13" outlineLevel="4" x14ac:dyDescent="0.3">
      <c r="A24" s="174" t="s">
        <v>73</v>
      </c>
      <c r="B24" s="175">
        <v>0.31850920426000001</v>
      </c>
      <c r="C24" s="175">
        <v>0.31941575620000001</v>
      </c>
      <c r="D24" s="175">
        <v>0.31663104557999999</v>
      </c>
      <c r="E24" s="175">
        <v>0.30844753120000001</v>
      </c>
      <c r="F24" s="175">
        <v>0.30496874118</v>
      </c>
      <c r="G24" s="175">
        <v>0.29870899084000002</v>
      </c>
      <c r="H24" s="175">
        <v>0.29843413736000002</v>
      </c>
      <c r="I24" s="175">
        <v>0.29485764982000001</v>
      </c>
      <c r="J24" s="175">
        <v>0.29370513788000002</v>
      </c>
      <c r="K24" s="175">
        <v>0.29387422751999998</v>
      </c>
      <c r="L24" s="175">
        <v>0.29307260349999997</v>
      </c>
      <c r="M24" s="175">
        <v>0.29084191597999998</v>
      </c>
      <c r="N24" s="175">
        <v>0.28777430481999999</v>
      </c>
      <c r="O24" s="10"/>
      <c r="P24" s="10"/>
      <c r="Q24" s="10"/>
    </row>
    <row r="25" spans="1:17" ht="13" outlineLevel="4" x14ac:dyDescent="0.3">
      <c r="A25" s="174" t="s">
        <v>74</v>
      </c>
      <c r="B25" s="175">
        <v>0.31850920426000001</v>
      </c>
      <c r="C25" s="175">
        <v>0.31941575620000001</v>
      </c>
      <c r="D25" s="175">
        <v>0.31663104557999999</v>
      </c>
      <c r="E25" s="175">
        <v>0.30844753120000001</v>
      </c>
      <c r="F25" s="175">
        <v>0.30496874118</v>
      </c>
      <c r="G25" s="175">
        <v>0.29870899084000002</v>
      </c>
      <c r="H25" s="175">
        <v>0.29843413736000002</v>
      </c>
      <c r="I25" s="175">
        <v>0.29485764982000001</v>
      </c>
      <c r="J25" s="175">
        <v>0.29370513788000002</v>
      </c>
      <c r="K25" s="175">
        <v>0.29387422751999998</v>
      </c>
      <c r="L25" s="175">
        <v>0.29307260349999997</v>
      </c>
      <c r="M25" s="175">
        <v>0.29084191597999998</v>
      </c>
      <c r="N25" s="175">
        <v>0.28777430481999999</v>
      </c>
      <c r="O25" s="10"/>
      <c r="P25" s="10"/>
      <c r="Q25" s="10"/>
    </row>
    <row r="26" spans="1:17" ht="13" outlineLevel="4" x14ac:dyDescent="0.3">
      <c r="A26" s="174" t="s">
        <v>75</v>
      </c>
      <c r="B26" s="175">
        <v>0.31850920426000001</v>
      </c>
      <c r="C26" s="175">
        <v>0.31941575620000001</v>
      </c>
      <c r="D26" s="175">
        <v>0.31663104557999999</v>
      </c>
      <c r="E26" s="175">
        <v>0.30844753120000001</v>
      </c>
      <c r="F26" s="175">
        <v>0.30496874118</v>
      </c>
      <c r="G26" s="175">
        <v>0.29870899084000002</v>
      </c>
      <c r="H26" s="175">
        <v>0.29843413736000002</v>
      </c>
      <c r="I26" s="175">
        <v>0.29485764982000001</v>
      </c>
      <c r="J26" s="175">
        <v>0.29370513788000002</v>
      </c>
      <c r="K26" s="175">
        <v>0.29387422751999998</v>
      </c>
      <c r="L26" s="175">
        <v>0.29307260349999997</v>
      </c>
      <c r="M26" s="175">
        <v>0.29084191597999998</v>
      </c>
      <c r="N26" s="175">
        <v>0.28777430481999999</v>
      </c>
      <c r="O26" s="10"/>
      <c r="P26" s="10"/>
      <c r="Q26" s="10"/>
    </row>
    <row r="27" spans="1:17" ht="13" outlineLevel="4" x14ac:dyDescent="0.3">
      <c r="A27" s="174" t="s">
        <v>76</v>
      </c>
      <c r="B27" s="175">
        <v>0.31850920426000001</v>
      </c>
      <c r="C27" s="175">
        <v>0.31941575620000001</v>
      </c>
      <c r="D27" s="175">
        <v>0.31663104557999999</v>
      </c>
      <c r="E27" s="175">
        <v>0.30844753120000001</v>
      </c>
      <c r="F27" s="175">
        <v>0.30496874118</v>
      </c>
      <c r="G27" s="175">
        <v>0.29870899084000002</v>
      </c>
      <c r="H27" s="175">
        <v>0.29843413736000002</v>
      </c>
      <c r="I27" s="175">
        <v>0.29485764982000001</v>
      </c>
      <c r="J27" s="175">
        <v>0.29370513788000002</v>
      </c>
      <c r="K27" s="175">
        <v>0.29387422751999998</v>
      </c>
      <c r="L27" s="175">
        <v>0.29307260349999997</v>
      </c>
      <c r="M27" s="175">
        <v>0.29084191597999998</v>
      </c>
      <c r="N27" s="175">
        <v>0.28777430481999999</v>
      </c>
      <c r="O27" s="10"/>
      <c r="P27" s="10"/>
      <c r="Q27" s="10"/>
    </row>
    <row r="28" spans="1:17" ht="13" outlineLevel="4" x14ac:dyDescent="0.3">
      <c r="A28" s="174" t="s">
        <v>77</v>
      </c>
      <c r="B28" s="175">
        <v>0.31850920426000001</v>
      </c>
      <c r="C28" s="175">
        <v>0.31941575620000001</v>
      </c>
      <c r="D28" s="175">
        <v>0.31663104557999999</v>
      </c>
      <c r="E28" s="175">
        <v>0.30844753120000001</v>
      </c>
      <c r="F28" s="175">
        <v>0.30496874118</v>
      </c>
      <c r="G28" s="175">
        <v>0.29870899084000002</v>
      </c>
      <c r="H28" s="175">
        <v>0.29843413736000002</v>
      </c>
      <c r="I28" s="175">
        <v>0.29485764982000001</v>
      </c>
      <c r="J28" s="175">
        <v>0.29370513788000002</v>
      </c>
      <c r="K28" s="175">
        <v>0.29387422751999998</v>
      </c>
      <c r="L28" s="175">
        <v>0.29307260349999997</v>
      </c>
      <c r="M28" s="175">
        <v>0.29084191597999998</v>
      </c>
      <c r="N28" s="175">
        <v>0.28777430481999999</v>
      </c>
      <c r="O28" s="10"/>
      <c r="P28" s="10"/>
      <c r="Q28" s="10"/>
    </row>
    <row r="29" spans="1:17" ht="13" outlineLevel="4" x14ac:dyDescent="0.3">
      <c r="A29" s="174" t="s">
        <v>78</v>
      </c>
      <c r="B29" s="175">
        <v>0.31850920426000001</v>
      </c>
      <c r="C29" s="175">
        <v>0.31941575620000001</v>
      </c>
      <c r="D29" s="175">
        <v>0.31663104557999999</v>
      </c>
      <c r="E29" s="175">
        <v>0.30844753120000001</v>
      </c>
      <c r="F29" s="175">
        <v>0.30496874118</v>
      </c>
      <c r="G29" s="175">
        <v>0.29870899084000002</v>
      </c>
      <c r="H29" s="175">
        <v>0.29843413736000002</v>
      </c>
      <c r="I29" s="175">
        <v>0.29485764982000001</v>
      </c>
      <c r="J29" s="175">
        <v>0.29370513788000002</v>
      </c>
      <c r="K29" s="175">
        <v>0.29387422751999998</v>
      </c>
      <c r="L29" s="175">
        <v>0.29307260349999997</v>
      </c>
      <c r="M29" s="175">
        <v>0.29084191597999998</v>
      </c>
      <c r="N29" s="175">
        <v>0.28777430481999999</v>
      </c>
      <c r="O29" s="10"/>
      <c r="P29" s="10"/>
      <c r="Q29" s="10"/>
    </row>
    <row r="30" spans="1:17" ht="13" outlineLevel="4" x14ac:dyDescent="0.3">
      <c r="A30" s="174" t="s">
        <v>79</v>
      </c>
      <c r="B30" s="175">
        <v>0.31850920426000001</v>
      </c>
      <c r="C30" s="175">
        <v>0.31941575620000001</v>
      </c>
      <c r="D30" s="175">
        <v>0.31663104557999999</v>
      </c>
      <c r="E30" s="175">
        <v>0.30844753120000001</v>
      </c>
      <c r="F30" s="175">
        <v>0.30496874118</v>
      </c>
      <c r="G30" s="175">
        <v>0.29870899084000002</v>
      </c>
      <c r="H30" s="175">
        <v>0.29843413736000002</v>
      </c>
      <c r="I30" s="175">
        <v>0.29485764982000001</v>
      </c>
      <c r="J30" s="175">
        <v>0.29370513788000002</v>
      </c>
      <c r="K30" s="175">
        <v>0.29387422751999998</v>
      </c>
      <c r="L30" s="175">
        <v>0.29307260349999997</v>
      </c>
      <c r="M30" s="175">
        <v>0.29084191597999998</v>
      </c>
      <c r="N30" s="175">
        <v>0.28777430481999999</v>
      </c>
      <c r="O30" s="10"/>
      <c r="P30" s="10"/>
      <c r="Q30" s="10"/>
    </row>
    <row r="31" spans="1:17" ht="13" outlineLevel="4" x14ac:dyDescent="0.3">
      <c r="A31" s="174" t="s">
        <v>80</v>
      </c>
      <c r="B31" s="175">
        <v>0.31850920426000001</v>
      </c>
      <c r="C31" s="175">
        <v>0.31941575620000001</v>
      </c>
      <c r="D31" s="175">
        <v>0.31663104557999999</v>
      </c>
      <c r="E31" s="175">
        <v>0.30844753120000001</v>
      </c>
      <c r="F31" s="175">
        <v>0.30496874118</v>
      </c>
      <c r="G31" s="175">
        <v>0.29870899084000002</v>
      </c>
      <c r="H31" s="175">
        <v>0.29843413736000002</v>
      </c>
      <c r="I31" s="175">
        <v>0.29485764982000001</v>
      </c>
      <c r="J31" s="175">
        <v>0.29370513788000002</v>
      </c>
      <c r="K31" s="175">
        <v>0.29387422751999998</v>
      </c>
      <c r="L31" s="175">
        <v>0.29307260349999997</v>
      </c>
      <c r="M31" s="175">
        <v>0.29084191597999998</v>
      </c>
      <c r="N31" s="175">
        <v>0.28777430481999999</v>
      </c>
      <c r="O31" s="10"/>
      <c r="P31" s="10"/>
      <c r="Q31" s="10"/>
    </row>
    <row r="32" spans="1:17" ht="13" outlineLevel="4" x14ac:dyDescent="0.3">
      <c r="A32" s="174" t="s">
        <v>81</v>
      </c>
      <c r="B32" s="175">
        <v>0.31850920426000001</v>
      </c>
      <c r="C32" s="175">
        <v>0.31941575620000001</v>
      </c>
      <c r="D32" s="175">
        <v>0.31663104557999999</v>
      </c>
      <c r="E32" s="175">
        <v>0.30844753120000001</v>
      </c>
      <c r="F32" s="175">
        <v>0.30496874118</v>
      </c>
      <c r="G32" s="175">
        <v>0.29870899084000002</v>
      </c>
      <c r="H32" s="175">
        <v>0.29843413736000002</v>
      </c>
      <c r="I32" s="175">
        <v>0.29485764982000001</v>
      </c>
      <c r="J32" s="175">
        <v>0.29370513788000002</v>
      </c>
      <c r="K32" s="175">
        <v>0.29387422751999998</v>
      </c>
      <c r="L32" s="175">
        <v>0.29307260349999997</v>
      </c>
      <c r="M32" s="175">
        <v>0.29084191597999998</v>
      </c>
      <c r="N32" s="175">
        <v>0.28777430481999999</v>
      </c>
      <c r="O32" s="10"/>
      <c r="P32" s="10"/>
      <c r="Q32" s="10"/>
    </row>
    <row r="33" spans="1:17" ht="13" outlineLevel="4" x14ac:dyDescent="0.3">
      <c r="A33" s="174" t="s">
        <v>83</v>
      </c>
      <c r="B33" s="175">
        <v>3.3204868307900002</v>
      </c>
      <c r="C33" s="175">
        <v>3.4160432320799998</v>
      </c>
      <c r="D33" s="175">
        <v>3.4530643038500002</v>
      </c>
      <c r="E33" s="175">
        <v>3.5222000234599999</v>
      </c>
      <c r="F33" s="175">
        <v>3.7113221725500001</v>
      </c>
      <c r="G33" s="175">
        <v>3.9808221955200001</v>
      </c>
      <c r="H33" s="175">
        <v>4.1745079112700001</v>
      </c>
      <c r="I33" s="175">
        <v>3.8750826364800002</v>
      </c>
      <c r="J33" s="175">
        <v>4.3940450011100003</v>
      </c>
      <c r="K33" s="175">
        <v>4.8755864248199998</v>
      </c>
      <c r="L33" s="175">
        <v>5.1714301219300003</v>
      </c>
      <c r="M33" s="175">
        <v>6.1198298376900002</v>
      </c>
      <c r="N33" s="175">
        <v>6.7689049215299999</v>
      </c>
      <c r="O33" s="10"/>
      <c r="P33" s="10"/>
      <c r="Q33" s="10"/>
    </row>
    <row r="34" spans="1:17" ht="13" outlineLevel="4" x14ac:dyDescent="0.3">
      <c r="A34" s="174" t="s">
        <v>84</v>
      </c>
      <c r="B34" s="175">
        <v>6.7688653429299999</v>
      </c>
      <c r="C34" s="175">
        <v>6.7881311221700003</v>
      </c>
      <c r="D34" s="175">
        <v>6.7289512585300004</v>
      </c>
      <c r="E34" s="175">
        <v>6.5550375815299997</v>
      </c>
      <c r="F34" s="175">
        <v>6.4811073437999998</v>
      </c>
      <c r="G34" s="175">
        <v>6.3480769430399997</v>
      </c>
      <c r="H34" s="175">
        <v>6.3422358365499996</v>
      </c>
      <c r="I34" s="175">
        <v>6.2662293591499996</v>
      </c>
      <c r="J34" s="175">
        <v>6.2417365094799999</v>
      </c>
      <c r="K34" s="175">
        <v>6.2453299535599998</v>
      </c>
      <c r="L34" s="175">
        <v>6.2282940720899997</v>
      </c>
      <c r="M34" s="175">
        <v>6.1808881467800001</v>
      </c>
      <c r="N34" s="175">
        <v>6.1156961631</v>
      </c>
      <c r="O34" s="10"/>
      <c r="P34" s="10"/>
      <c r="Q34" s="10"/>
    </row>
    <row r="35" spans="1:17" ht="13" outlineLevel="4" x14ac:dyDescent="0.3">
      <c r="A35" s="174" t="s">
        <v>85</v>
      </c>
      <c r="B35" s="175">
        <v>0.59342221659000005</v>
      </c>
      <c r="C35" s="175">
        <v>0.59511123551</v>
      </c>
      <c r="D35" s="175">
        <v>0.58992297363000001</v>
      </c>
      <c r="E35" s="175">
        <v>0.57467606969999996</v>
      </c>
      <c r="F35" s="175">
        <v>0.56819465170000005</v>
      </c>
      <c r="G35" s="175">
        <v>0</v>
      </c>
      <c r="H35" s="175">
        <v>0.15803384036000001</v>
      </c>
      <c r="I35" s="175">
        <v>0.21395765444000001</v>
      </c>
      <c r="J35" s="175">
        <v>0.21312135684</v>
      </c>
      <c r="K35" s="175">
        <v>0.27186737242999998</v>
      </c>
      <c r="L35" s="175">
        <v>0.27112577824</v>
      </c>
      <c r="M35" s="175">
        <v>0.26906213637999998</v>
      </c>
      <c r="N35" s="175">
        <v>0.38516142152999999</v>
      </c>
      <c r="O35" s="10"/>
      <c r="P35" s="10"/>
      <c r="Q35" s="10"/>
    </row>
    <row r="36" spans="1:17" ht="13" outlineLevel="4" x14ac:dyDescent="0.3">
      <c r="A36" s="174" t="s">
        <v>86</v>
      </c>
      <c r="B36" s="175">
        <v>1.08127016724</v>
      </c>
      <c r="C36" s="175">
        <v>1.0843477158799999</v>
      </c>
      <c r="D36" s="175">
        <v>1.07489422291</v>
      </c>
      <c r="E36" s="175">
        <v>1.0471129536399999</v>
      </c>
      <c r="F36" s="175">
        <v>1.03530321058</v>
      </c>
      <c r="G36" s="175">
        <v>1.01405270603</v>
      </c>
      <c r="H36" s="175">
        <v>1.01311963765</v>
      </c>
      <c r="I36" s="175">
        <v>1.0009782325400001</v>
      </c>
      <c r="J36" s="175">
        <v>0.99706570269000006</v>
      </c>
      <c r="K36" s="175">
        <v>0.99763972559000003</v>
      </c>
      <c r="L36" s="175">
        <v>0.99491838466000004</v>
      </c>
      <c r="M36" s="175">
        <v>0.98734568078999996</v>
      </c>
      <c r="N36" s="175">
        <v>1.09586897881</v>
      </c>
      <c r="O36" s="10"/>
      <c r="P36" s="10"/>
      <c r="Q36" s="10"/>
    </row>
    <row r="37" spans="1:17" ht="13" outlineLevel="4" x14ac:dyDescent="0.3">
      <c r="A37" s="174" t="s">
        <v>88</v>
      </c>
      <c r="B37" s="175">
        <v>1.08156427714</v>
      </c>
      <c r="C37" s="175">
        <v>1.0846426628900001</v>
      </c>
      <c r="D37" s="175">
        <v>1.07518659851</v>
      </c>
      <c r="E37" s="175">
        <v>1.0473977726599999</v>
      </c>
      <c r="F37" s="175">
        <v>1.03558481729</v>
      </c>
      <c r="G37" s="175">
        <v>1.01432853253</v>
      </c>
      <c r="H37" s="175">
        <v>1.0133952103399999</v>
      </c>
      <c r="I37" s="175">
        <v>1.00125050268</v>
      </c>
      <c r="J37" s="175">
        <v>0.99733690863000002</v>
      </c>
      <c r="K37" s="175">
        <v>0.99791108768000003</v>
      </c>
      <c r="L37" s="175">
        <v>0.99518900651999997</v>
      </c>
      <c r="M37" s="175">
        <v>0.98761424285999999</v>
      </c>
      <c r="N37" s="175">
        <v>0.97719753088000005</v>
      </c>
      <c r="O37" s="10"/>
      <c r="P37" s="10"/>
      <c r="Q37" s="10"/>
    </row>
    <row r="38" spans="1:17" ht="13" outlineLevel="4" x14ac:dyDescent="0.3">
      <c r="A38" s="174" t="s">
        <v>89</v>
      </c>
      <c r="B38" s="175">
        <v>0.46815606701000001</v>
      </c>
      <c r="C38" s="175">
        <v>0.46948854903999998</v>
      </c>
      <c r="D38" s="175">
        <v>0.46539548310000001</v>
      </c>
      <c r="E38" s="175">
        <v>0.45336706492000001</v>
      </c>
      <c r="F38" s="175">
        <v>0.44825381661000002</v>
      </c>
      <c r="G38" s="175">
        <v>0.43905301469000002</v>
      </c>
      <c r="H38" s="175">
        <v>0.43864902535</v>
      </c>
      <c r="I38" s="175">
        <v>0.43339217775</v>
      </c>
      <c r="J38" s="175">
        <v>0.43169817505000002</v>
      </c>
      <c r="K38" s="175">
        <v>0.43194670897999998</v>
      </c>
      <c r="L38" s="175">
        <v>0.43076845369</v>
      </c>
      <c r="M38" s="175">
        <v>0.42748971046000001</v>
      </c>
      <c r="N38" s="175">
        <v>0.42298082732999998</v>
      </c>
      <c r="O38" s="10"/>
      <c r="P38" s="10"/>
      <c r="Q38" s="10"/>
    </row>
    <row r="39" spans="1:17" ht="13" outlineLevel="4" x14ac:dyDescent="0.3">
      <c r="A39" s="174" t="s">
        <v>90</v>
      </c>
      <c r="B39" s="175">
        <v>6.5819958720000002E-2</v>
      </c>
      <c r="C39" s="175">
        <v>6.6007297770000001E-2</v>
      </c>
      <c r="D39" s="175">
        <v>6.5431837039999996E-2</v>
      </c>
      <c r="E39" s="175">
        <v>6.3740712980000003E-2</v>
      </c>
      <c r="F39" s="175">
        <v>6.3021820680000007E-2</v>
      </c>
      <c r="G39" s="175">
        <v>6.1728242650000001E-2</v>
      </c>
      <c r="H39" s="175">
        <v>6.1671444149999997E-2</v>
      </c>
      <c r="I39" s="175">
        <v>6.0932362640000001E-2</v>
      </c>
      <c r="J39" s="175">
        <v>6.0694195940000001E-2</v>
      </c>
      <c r="K39" s="175">
        <v>6.0729138330000001E-2</v>
      </c>
      <c r="L39" s="175">
        <v>6.0563482639999999E-2</v>
      </c>
      <c r="M39" s="175">
        <v>6.0102510839999998E-2</v>
      </c>
      <c r="N39" s="175">
        <v>5.9468588689999997E-2</v>
      </c>
      <c r="O39" s="10"/>
      <c r="P39" s="10"/>
      <c r="Q39" s="10"/>
    </row>
    <row r="40" spans="1:17" ht="13" outlineLevel="4" x14ac:dyDescent="0.3">
      <c r="A40" s="174" t="s">
        <v>91</v>
      </c>
      <c r="B40" s="175">
        <v>1.2012284124199999</v>
      </c>
      <c r="C40" s="175">
        <v>1.19429772026</v>
      </c>
      <c r="D40" s="175">
        <v>0.39259102224999998</v>
      </c>
      <c r="E40" s="175">
        <v>0.38244427785000001</v>
      </c>
      <c r="F40" s="175">
        <v>0.37813092404999998</v>
      </c>
      <c r="G40" s="175">
        <v>0.37036945589999998</v>
      </c>
      <c r="H40" s="175">
        <v>0</v>
      </c>
      <c r="I40" s="175">
        <v>0</v>
      </c>
      <c r="J40" s="175">
        <v>0</v>
      </c>
      <c r="K40" s="175">
        <v>0</v>
      </c>
      <c r="L40" s="175">
        <v>0</v>
      </c>
      <c r="M40" s="175">
        <v>0</v>
      </c>
      <c r="N40" s="175">
        <v>0</v>
      </c>
      <c r="O40" s="10"/>
      <c r="P40" s="10"/>
      <c r="Q40" s="10"/>
    </row>
    <row r="41" spans="1:17" ht="13" outlineLevel="4" x14ac:dyDescent="0.3">
      <c r="A41" s="174" t="s">
        <v>92</v>
      </c>
      <c r="B41" s="175">
        <v>0.34226378534000002</v>
      </c>
      <c r="C41" s="175">
        <v>0.27723065063000002</v>
      </c>
      <c r="D41" s="175">
        <v>0.14395004148000001</v>
      </c>
      <c r="E41" s="175">
        <v>0.14022956854999999</v>
      </c>
      <c r="F41" s="175">
        <v>0.13864800549</v>
      </c>
      <c r="G41" s="175">
        <v>0.13580213382</v>
      </c>
      <c r="H41" s="175">
        <v>0.13567717712999999</v>
      </c>
      <c r="I41" s="175">
        <v>0.13405119780999999</v>
      </c>
      <c r="J41" s="175">
        <v>0.13352723106</v>
      </c>
      <c r="K41" s="175">
        <v>0.13360410432</v>
      </c>
      <c r="L41" s="175">
        <v>0.13323966180999999</v>
      </c>
      <c r="M41" s="175">
        <v>0.13222552385</v>
      </c>
      <c r="N41" s="175">
        <v>0.13083089512000001</v>
      </c>
      <c r="O41" s="10"/>
      <c r="P41" s="10"/>
      <c r="Q41" s="10"/>
    </row>
    <row r="42" spans="1:17" ht="13" outlineLevel="3" x14ac:dyDescent="0.3">
      <c r="A42" s="176" t="s">
        <v>93</v>
      </c>
      <c r="B42" s="175">
        <f t="shared" ref="B42:N42" si="4">SUM(B$43:B$43)</f>
        <v>4.1783306749999999E-2</v>
      </c>
      <c r="C42" s="175">
        <f t="shared" si="4"/>
        <v>4.1902231849999999E-2</v>
      </c>
      <c r="D42" s="175">
        <f t="shared" si="4"/>
        <v>4.1536922410000003E-2</v>
      </c>
      <c r="E42" s="175">
        <f t="shared" si="4"/>
        <v>4.0463376379999999E-2</v>
      </c>
      <c r="F42" s="175">
        <f t="shared" si="4"/>
        <v>3.9173535359999997E-2</v>
      </c>
      <c r="G42" s="175">
        <f t="shared" si="4"/>
        <v>3.836946426E-2</v>
      </c>
      <c r="H42" s="175">
        <f t="shared" si="4"/>
        <v>3.8334159059999998E-2</v>
      </c>
      <c r="I42" s="175">
        <f t="shared" si="4"/>
        <v>3.7068909849999998E-2</v>
      </c>
      <c r="J42" s="175">
        <f t="shared" si="4"/>
        <v>3.6924018369999999E-2</v>
      </c>
      <c r="K42" s="175">
        <f t="shared" si="4"/>
        <v>3.6142117799999998E-2</v>
      </c>
      <c r="L42" s="175">
        <f t="shared" si="4"/>
        <v>3.6043530089999998E-2</v>
      </c>
      <c r="M42" s="175">
        <f t="shared" si="4"/>
        <v>3.5769189010000001E-2</v>
      </c>
      <c r="N42" s="175">
        <f t="shared" si="4"/>
        <v>3.4605431809999997E-2</v>
      </c>
      <c r="O42" s="10"/>
      <c r="P42" s="10"/>
      <c r="Q42" s="10"/>
    </row>
    <row r="43" spans="1:17" ht="13" outlineLevel="4" x14ac:dyDescent="0.3">
      <c r="A43" s="174" t="s">
        <v>94</v>
      </c>
      <c r="B43" s="175">
        <v>4.1783306749999999E-2</v>
      </c>
      <c r="C43" s="175">
        <v>4.1902231849999999E-2</v>
      </c>
      <c r="D43" s="175">
        <v>4.1536922410000003E-2</v>
      </c>
      <c r="E43" s="175">
        <v>4.0463376379999999E-2</v>
      </c>
      <c r="F43" s="175">
        <v>3.9173535359999997E-2</v>
      </c>
      <c r="G43" s="175">
        <v>3.836946426E-2</v>
      </c>
      <c r="H43" s="175">
        <v>3.8334159059999998E-2</v>
      </c>
      <c r="I43" s="175">
        <v>3.7068909849999998E-2</v>
      </c>
      <c r="J43" s="175">
        <v>3.6924018369999999E-2</v>
      </c>
      <c r="K43" s="175">
        <v>3.6142117799999998E-2</v>
      </c>
      <c r="L43" s="175">
        <v>3.6043530089999998E-2</v>
      </c>
      <c r="M43" s="175">
        <v>3.5769189010000001E-2</v>
      </c>
      <c r="N43" s="175">
        <v>3.4605431809999997E-2</v>
      </c>
      <c r="O43" s="10"/>
      <c r="P43" s="10"/>
      <c r="Q43" s="10"/>
    </row>
    <row r="44" spans="1:17" ht="14.5" outlineLevel="2" x14ac:dyDescent="0.35">
      <c r="A44" s="177" t="s">
        <v>95</v>
      </c>
      <c r="B44" s="178">
        <f t="shared" ref="B44:N44" si="5">B$45+B$55+B$66+B$68+B$75+B$83+B$85</f>
        <v>94.791091580989999</v>
      </c>
      <c r="C44" s="178">
        <f t="shared" si="5"/>
        <v>93.775191799489988</v>
      </c>
      <c r="D44" s="178">
        <f t="shared" si="5"/>
        <v>93.406854383140015</v>
      </c>
      <c r="E44" s="178">
        <f t="shared" si="5"/>
        <v>101.85150116397</v>
      </c>
      <c r="F44" s="178">
        <f t="shared" si="5"/>
        <v>102.24819258324001</v>
      </c>
      <c r="G44" s="178">
        <f t="shared" si="5"/>
        <v>102.75187150182001</v>
      </c>
      <c r="H44" s="178">
        <f t="shared" si="5"/>
        <v>103.79473589282001</v>
      </c>
      <c r="I44" s="178">
        <f t="shared" si="5"/>
        <v>106.72397122650001</v>
      </c>
      <c r="J44" s="178">
        <f t="shared" si="5"/>
        <v>106.80707948030999</v>
      </c>
      <c r="K44" s="178">
        <f t="shared" si="5"/>
        <v>106.7428648274</v>
      </c>
      <c r="L44" s="178">
        <f t="shared" si="5"/>
        <v>105.92688956043001</v>
      </c>
      <c r="M44" s="178">
        <f t="shared" si="5"/>
        <v>109.58967952847</v>
      </c>
      <c r="N44" s="178">
        <f t="shared" si="5"/>
        <v>114.87644301746001</v>
      </c>
      <c r="O44" s="10"/>
      <c r="P44" s="10"/>
      <c r="Q44" s="10"/>
    </row>
    <row r="45" spans="1:17" ht="13" outlineLevel="3" x14ac:dyDescent="0.3">
      <c r="A45" s="176" t="s">
        <v>96</v>
      </c>
      <c r="B45" s="175">
        <f t="shared" ref="B45:N45" si="6">SUM(B$46:B$54)</f>
        <v>59.305881467679995</v>
      </c>
      <c r="C45" s="175">
        <f t="shared" si="6"/>
        <v>58.55422823536</v>
      </c>
      <c r="D45" s="175">
        <f t="shared" si="6"/>
        <v>58.3011516292</v>
      </c>
      <c r="E45" s="175">
        <f t="shared" si="6"/>
        <v>65.132029184830003</v>
      </c>
      <c r="F45" s="175">
        <f t="shared" si="6"/>
        <v>65.65310141353001</v>
      </c>
      <c r="G45" s="175">
        <f t="shared" si="6"/>
        <v>66.104023738050003</v>
      </c>
      <c r="H45" s="175">
        <f t="shared" si="6"/>
        <v>67.293027082519998</v>
      </c>
      <c r="I45" s="175">
        <f t="shared" si="6"/>
        <v>70.12159829062</v>
      </c>
      <c r="J45" s="175">
        <f t="shared" si="6"/>
        <v>74.38001934383</v>
      </c>
      <c r="K45" s="175">
        <f t="shared" si="6"/>
        <v>74.280190770209998</v>
      </c>
      <c r="L45" s="175">
        <f t="shared" si="6"/>
        <v>73.577165132910011</v>
      </c>
      <c r="M45" s="175">
        <f t="shared" si="6"/>
        <v>77.281304718170006</v>
      </c>
      <c r="N45" s="175">
        <f t="shared" si="6"/>
        <v>82.827489272820003</v>
      </c>
      <c r="O45" s="10"/>
      <c r="P45" s="10"/>
      <c r="Q45" s="10"/>
    </row>
    <row r="46" spans="1:17" ht="13" outlineLevel="4" x14ac:dyDescent="0.3">
      <c r="A46" s="174" t="s">
        <v>97</v>
      </c>
      <c r="B46" s="175">
        <v>6.6717266900000001E-3</v>
      </c>
      <c r="C46" s="175">
        <v>6.51263676E-3</v>
      </c>
      <c r="D46" s="175">
        <v>6.4892186899999996E-3</v>
      </c>
      <c r="E46" s="175">
        <v>6.1610556400000004E-3</v>
      </c>
      <c r="F46" s="175">
        <v>1.007410053E-2</v>
      </c>
      <c r="G46" s="175">
        <v>1.017378515E-2</v>
      </c>
      <c r="H46" s="175">
        <v>1.005715913E-2</v>
      </c>
      <c r="I46" s="175">
        <v>1.018035713E-2</v>
      </c>
      <c r="J46" s="175">
        <v>1.043424771E-2</v>
      </c>
      <c r="K46" s="175">
        <v>9.94478289E-3</v>
      </c>
      <c r="L46" s="175">
        <v>9.6329720900000006E-3</v>
      </c>
      <c r="M46" s="175">
        <v>9.3942239399999999E-3</v>
      </c>
      <c r="N46" s="175">
        <v>1.146224364E-2</v>
      </c>
      <c r="O46" s="10"/>
      <c r="P46" s="10"/>
      <c r="Q46" s="10"/>
    </row>
    <row r="47" spans="1:17" ht="13" outlineLevel="4" x14ac:dyDescent="0.3">
      <c r="A47" s="174" t="s">
        <v>98</v>
      </c>
      <c r="B47" s="175">
        <v>0</v>
      </c>
      <c r="C47" s="175">
        <v>0</v>
      </c>
      <c r="D47" s="175">
        <v>0</v>
      </c>
      <c r="E47" s="175">
        <v>0</v>
      </c>
      <c r="F47" s="175">
        <v>0</v>
      </c>
      <c r="G47" s="175">
        <v>0</v>
      </c>
      <c r="H47" s="175">
        <v>0</v>
      </c>
      <c r="I47" s="175">
        <v>0</v>
      </c>
      <c r="J47" s="175">
        <v>7.7671940590000002E-2</v>
      </c>
      <c r="K47" s="175">
        <v>8.9304092660000001E-2</v>
      </c>
      <c r="L47" s="175">
        <v>8.6504033529999996E-2</v>
      </c>
      <c r="M47" s="175">
        <v>0.12211185720999999</v>
      </c>
      <c r="N47" s="175">
        <v>0.12100019522</v>
      </c>
      <c r="O47" s="10"/>
      <c r="P47" s="10"/>
      <c r="Q47" s="10"/>
    </row>
    <row r="48" spans="1:17" ht="13" outlineLevel="4" x14ac:dyDescent="0.3">
      <c r="A48" s="174" t="s">
        <v>99</v>
      </c>
      <c r="B48" s="175">
        <v>0.19374588745999999</v>
      </c>
      <c r="C48" s="175">
        <v>0.18912594107</v>
      </c>
      <c r="D48" s="175">
        <v>0.18844588405000001</v>
      </c>
      <c r="E48" s="175">
        <v>0.18729249497</v>
      </c>
      <c r="F48" s="175">
        <v>0.17599214649</v>
      </c>
      <c r="G48" s="175">
        <v>0.14981607121000001</v>
      </c>
      <c r="H48" s="175">
        <v>0.14437900123</v>
      </c>
      <c r="I48" s="175">
        <v>0.14614761251</v>
      </c>
      <c r="J48" s="175">
        <v>0.14990297849000001</v>
      </c>
      <c r="K48" s="175">
        <v>0.14973341021</v>
      </c>
      <c r="L48" s="175">
        <v>0.13519048292999999</v>
      </c>
      <c r="M48" s="175">
        <v>0.10462935176</v>
      </c>
      <c r="N48" s="175">
        <v>0.10114868791000001</v>
      </c>
      <c r="O48" s="10"/>
      <c r="P48" s="10"/>
      <c r="Q48" s="10"/>
    </row>
    <row r="49" spans="1:17" ht="13" outlineLevel="4" x14ac:dyDescent="0.3">
      <c r="A49" s="174" t="s">
        <v>100</v>
      </c>
      <c r="B49" s="175">
        <v>3.0297750091800002</v>
      </c>
      <c r="C49" s="175">
        <v>2.9575288399600002</v>
      </c>
      <c r="D49" s="175">
        <v>2.9346242883600002</v>
      </c>
      <c r="E49" s="175">
        <v>2.9319978044399999</v>
      </c>
      <c r="F49" s="175">
        <v>2.9056958390899998</v>
      </c>
      <c r="G49" s="175">
        <v>2.91931692049</v>
      </c>
      <c r="H49" s="175">
        <v>2.88520701775</v>
      </c>
      <c r="I49" s="175">
        <v>2.9205501747499998</v>
      </c>
      <c r="J49" s="175">
        <v>2.9807902723800002</v>
      </c>
      <c r="K49" s="175">
        <v>2.99715707938</v>
      </c>
      <c r="L49" s="175">
        <v>2.9090406356999998</v>
      </c>
      <c r="M49" s="175">
        <v>2.8432756979299998</v>
      </c>
      <c r="N49" s="175">
        <v>2.9522925032999998</v>
      </c>
      <c r="O49" s="10"/>
      <c r="P49" s="10"/>
      <c r="Q49" s="10"/>
    </row>
    <row r="50" spans="1:17" ht="13" outlineLevel="4" x14ac:dyDescent="0.3">
      <c r="A50" s="174" t="s">
        <v>101</v>
      </c>
      <c r="B50" s="175">
        <v>32.90407975798</v>
      </c>
      <c r="C50" s="175">
        <v>32.119469116460003</v>
      </c>
      <c r="D50" s="175">
        <v>32.00397427747</v>
      </c>
      <c r="E50" s="175">
        <v>36.845660022380002</v>
      </c>
      <c r="F50" s="175">
        <v>37.506225850050001</v>
      </c>
      <c r="G50" s="175">
        <v>37.877355142299997</v>
      </c>
      <c r="H50" s="175">
        <v>39.464505123679999</v>
      </c>
      <c r="I50" s="175">
        <v>39.947936708349999</v>
      </c>
      <c r="J50" s="175">
        <v>43.90139345339</v>
      </c>
      <c r="K50" s="175">
        <v>44.16655898162</v>
      </c>
      <c r="L50" s="175">
        <v>42.781751487999998</v>
      </c>
      <c r="M50" s="175">
        <v>41.721428274899999</v>
      </c>
      <c r="N50" s="175">
        <v>44.012826736089998</v>
      </c>
      <c r="O50" s="10"/>
      <c r="P50" s="10"/>
      <c r="Q50" s="10"/>
    </row>
    <row r="51" spans="1:17" ht="13" outlineLevel="4" x14ac:dyDescent="0.3">
      <c r="A51" s="174" t="s">
        <v>102</v>
      </c>
      <c r="B51" s="175">
        <v>1.05085771959</v>
      </c>
      <c r="C51" s="175">
        <v>1.0257996065699999</v>
      </c>
      <c r="D51" s="175">
        <v>1.0222191324800001</v>
      </c>
      <c r="E51" s="175">
        <v>1.02160526163</v>
      </c>
      <c r="F51" s="175">
        <v>1.01318733786</v>
      </c>
      <c r="G51" s="175">
        <v>1.0232129667000001</v>
      </c>
      <c r="H51" s="175">
        <v>1.0114834821100001</v>
      </c>
      <c r="I51" s="175">
        <v>1.0238739342700001</v>
      </c>
      <c r="J51" s="175">
        <v>1.0494085923400001</v>
      </c>
      <c r="K51" s="175">
        <v>1.0561220468100001</v>
      </c>
      <c r="L51" s="175">
        <v>1.0230199339099999</v>
      </c>
      <c r="M51" s="175">
        <v>5.799174217</v>
      </c>
      <c r="N51" s="175">
        <v>5.7900951672299996</v>
      </c>
      <c r="O51" s="10"/>
      <c r="P51" s="10"/>
      <c r="Q51" s="10"/>
    </row>
    <row r="52" spans="1:17" ht="13" outlineLevel="4" x14ac:dyDescent="0.3">
      <c r="A52" s="174" t="s">
        <v>103</v>
      </c>
      <c r="B52" s="175">
        <v>12.00422151197</v>
      </c>
      <c r="C52" s="175">
        <v>12.22659739455</v>
      </c>
      <c r="D52" s="175">
        <v>12.133499039749999</v>
      </c>
      <c r="E52" s="175">
        <v>13.73352210651</v>
      </c>
      <c r="F52" s="175">
        <v>13.68223845592</v>
      </c>
      <c r="G52" s="175">
        <v>13.720666894760001</v>
      </c>
      <c r="H52" s="175">
        <v>13.68825601899</v>
      </c>
      <c r="I52" s="175">
        <v>13.66530796456</v>
      </c>
      <c r="J52" s="175">
        <v>13.634345724399999</v>
      </c>
      <c r="K52" s="175">
        <v>13.61526201149</v>
      </c>
      <c r="L52" s="175">
        <v>13.54297348293</v>
      </c>
      <c r="M52" s="175">
        <v>13.734434928200001</v>
      </c>
      <c r="N52" s="175">
        <v>16.17518239755</v>
      </c>
      <c r="O52" s="10"/>
      <c r="P52" s="10"/>
      <c r="Q52" s="10"/>
    </row>
    <row r="53" spans="1:17" ht="13" outlineLevel="4" x14ac:dyDescent="0.3">
      <c r="A53" s="174" t="s">
        <v>104</v>
      </c>
      <c r="B53" s="175">
        <v>10.00235119221</v>
      </c>
      <c r="C53" s="175">
        <v>9.9144916569999992</v>
      </c>
      <c r="D53" s="175">
        <v>9.8971967454099996</v>
      </c>
      <c r="E53" s="175">
        <v>10.290480842219999</v>
      </c>
      <c r="F53" s="175">
        <v>10.242918586549999</v>
      </c>
      <c r="G53" s="175">
        <v>10.286517609000001</v>
      </c>
      <c r="H53" s="175">
        <v>9.9762031439199994</v>
      </c>
      <c r="I53" s="175">
        <v>12.29361077405</v>
      </c>
      <c r="J53" s="175">
        <v>12.46188876167</v>
      </c>
      <c r="K53" s="175">
        <v>12.0815072277</v>
      </c>
      <c r="L53" s="175">
        <v>12.97291881796</v>
      </c>
      <c r="M53" s="175">
        <v>12.83022349534</v>
      </c>
      <c r="N53" s="175">
        <v>13.54928616023</v>
      </c>
      <c r="O53" s="10"/>
      <c r="P53" s="10"/>
      <c r="Q53" s="10"/>
    </row>
    <row r="54" spans="1:17" ht="13" outlineLevel="4" x14ac:dyDescent="0.3">
      <c r="A54" s="174" t="s">
        <v>105</v>
      </c>
      <c r="B54" s="175">
        <v>0.11417866259999999</v>
      </c>
      <c r="C54" s="175">
        <v>0.11470304299</v>
      </c>
      <c r="D54" s="175">
        <v>0.11470304299</v>
      </c>
      <c r="E54" s="175">
        <v>0.11530959704</v>
      </c>
      <c r="F54" s="175">
        <v>0.11676909704000001</v>
      </c>
      <c r="G54" s="175">
        <v>0.11696434844</v>
      </c>
      <c r="H54" s="175">
        <v>0.11293613571</v>
      </c>
      <c r="I54" s="175">
        <v>0.11399076499999999</v>
      </c>
      <c r="J54" s="175">
        <v>0.11418337285999999</v>
      </c>
      <c r="K54" s="175">
        <v>0.11460113745</v>
      </c>
      <c r="L54" s="175">
        <v>0.11613328586</v>
      </c>
      <c r="M54" s="175">
        <v>0.11663267189</v>
      </c>
      <c r="N54" s="175">
        <v>0.11419518165</v>
      </c>
      <c r="O54" s="10"/>
      <c r="P54" s="10"/>
      <c r="Q54" s="10"/>
    </row>
    <row r="55" spans="1:17" ht="13" outlineLevel="3" x14ac:dyDescent="0.3">
      <c r="A55" s="176" t="s">
        <v>106</v>
      </c>
      <c r="B55" s="175">
        <f t="shared" ref="B55:N55" si="7">SUM(B$56:B$65)</f>
        <v>6.3176009658999996</v>
      </c>
      <c r="C55" s="175">
        <f t="shared" si="7"/>
        <v>6.1875184457399994</v>
      </c>
      <c r="D55" s="175">
        <f t="shared" si="7"/>
        <v>6.11926197845</v>
      </c>
      <c r="E55" s="175">
        <f t="shared" si="7"/>
        <v>7.5926592151000003</v>
      </c>
      <c r="F55" s="175">
        <f t="shared" si="7"/>
        <v>7.5252367587100002</v>
      </c>
      <c r="G55" s="175">
        <f t="shared" si="7"/>
        <v>7.5264807971300005</v>
      </c>
      <c r="H55" s="175">
        <f t="shared" si="7"/>
        <v>7.4896796997899999</v>
      </c>
      <c r="I55" s="175">
        <f t="shared" si="7"/>
        <v>7.4948920679399995</v>
      </c>
      <c r="J55" s="175">
        <f t="shared" si="7"/>
        <v>7.732883317789998</v>
      </c>
      <c r="K55" s="175">
        <f t="shared" si="7"/>
        <v>7.7422710989599999</v>
      </c>
      <c r="L55" s="175">
        <f t="shared" si="7"/>
        <v>7.7583829236500002</v>
      </c>
      <c r="M55" s="175">
        <f t="shared" si="7"/>
        <v>7.802515872079999</v>
      </c>
      <c r="N55" s="175">
        <f t="shared" si="7"/>
        <v>7.6291777373399992</v>
      </c>
      <c r="O55" s="10"/>
      <c r="P55" s="10"/>
      <c r="Q55" s="10"/>
    </row>
    <row r="56" spans="1:17" ht="13" outlineLevel="4" x14ac:dyDescent="0.3">
      <c r="A56" s="174" t="s">
        <v>107</v>
      </c>
      <c r="B56" s="175">
        <v>2.3454162970000001E-2</v>
      </c>
      <c r="C56" s="175">
        <v>2.3282403010000001E-2</v>
      </c>
      <c r="D56" s="175">
        <v>2.3207090909999999E-2</v>
      </c>
      <c r="E56" s="175">
        <v>2.3217182560000001E-2</v>
      </c>
      <c r="F56" s="175">
        <v>2.302424611E-2</v>
      </c>
      <c r="G56" s="175">
        <v>2.3351280750000002E-2</v>
      </c>
      <c r="H56" s="175">
        <v>2.322451125E-2</v>
      </c>
      <c r="I56" s="175">
        <v>2.3599329580000002E-2</v>
      </c>
      <c r="J56" s="175">
        <v>2.4220302610000001E-2</v>
      </c>
      <c r="K56" s="175">
        <v>2.4601547719999999E-2</v>
      </c>
      <c r="L56" s="175">
        <v>2.3779365149999999E-2</v>
      </c>
      <c r="M56" s="175">
        <v>2.3271387889999998E-2</v>
      </c>
      <c r="N56" s="175">
        <v>2.3139083970000002E-2</v>
      </c>
      <c r="O56" s="10"/>
      <c r="P56" s="10"/>
      <c r="Q56" s="10"/>
    </row>
    <row r="57" spans="1:17" ht="13" outlineLevel="4" x14ac:dyDescent="0.3">
      <c r="A57" s="174" t="s">
        <v>108</v>
      </c>
      <c r="B57" s="175">
        <v>0.22224977884</v>
      </c>
      <c r="C57" s="175">
        <v>0.21695014601000001</v>
      </c>
      <c r="D57" s="175">
        <v>0.21617003902000001</v>
      </c>
      <c r="E57" s="175">
        <v>0.21604022294</v>
      </c>
      <c r="F57" s="175">
        <v>0.21426007341</v>
      </c>
      <c r="G57" s="175">
        <v>0.21638020647</v>
      </c>
      <c r="H57" s="175">
        <v>0.21389975677</v>
      </c>
      <c r="I57" s="175">
        <v>0.21651998216000001</v>
      </c>
      <c r="J57" s="175">
        <v>0.22191983025000001</v>
      </c>
      <c r="K57" s="175">
        <v>0.22326023165</v>
      </c>
      <c r="L57" s="175">
        <v>0.21626008382</v>
      </c>
      <c r="M57" s="175">
        <v>0.21090019136999999</v>
      </c>
      <c r="N57" s="175">
        <v>0.20898023264000001</v>
      </c>
      <c r="O57" s="10"/>
      <c r="P57" s="10"/>
      <c r="Q57" s="10"/>
    </row>
    <row r="58" spans="1:17" ht="13" outlineLevel="4" x14ac:dyDescent="0.3">
      <c r="A58" s="174" t="s">
        <v>109</v>
      </c>
      <c r="B58" s="175">
        <v>3.6820325010000001</v>
      </c>
      <c r="C58" s="175">
        <v>3.6335086631800002</v>
      </c>
      <c r="D58" s="175">
        <v>3.5906258306100001</v>
      </c>
      <c r="E58" s="175">
        <v>5.0715584578300001</v>
      </c>
      <c r="F58" s="175">
        <v>5.0441295803199999</v>
      </c>
      <c r="G58" s="175">
        <v>5.0259857078800003</v>
      </c>
      <c r="H58" s="175">
        <v>5.0298681040400002</v>
      </c>
      <c r="I58" s="175">
        <v>4.9763086688699998</v>
      </c>
      <c r="J58" s="175">
        <v>5.1108297168899997</v>
      </c>
      <c r="K58" s="175">
        <v>5.10558653939</v>
      </c>
      <c r="L58" s="175">
        <v>5.2370744740999999</v>
      </c>
      <c r="M58" s="175">
        <v>5.2101017491699997</v>
      </c>
      <c r="N58" s="175">
        <v>5.0846934205799998</v>
      </c>
      <c r="O58" s="10"/>
      <c r="P58" s="10"/>
      <c r="Q58" s="10"/>
    </row>
    <row r="59" spans="1:17" ht="13" outlineLevel="4" x14ac:dyDescent="0.3">
      <c r="A59" s="174" t="s">
        <v>110</v>
      </c>
      <c r="B59" s="175">
        <v>0.22224977884</v>
      </c>
      <c r="C59" s="175">
        <v>0.21695014601000001</v>
      </c>
      <c r="D59" s="175">
        <v>0.21617003902000001</v>
      </c>
      <c r="E59" s="175">
        <v>0.21604022294</v>
      </c>
      <c r="F59" s="175">
        <v>0.21426007341</v>
      </c>
      <c r="G59" s="175">
        <v>0.21638020647</v>
      </c>
      <c r="H59" s="175">
        <v>0.21389975677</v>
      </c>
      <c r="I59" s="175">
        <v>0.21651998216000001</v>
      </c>
      <c r="J59" s="175">
        <v>0.22191983025000001</v>
      </c>
      <c r="K59" s="175">
        <v>0.22326023165</v>
      </c>
      <c r="L59" s="175">
        <v>0.21626008382</v>
      </c>
      <c r="M59" s="175">
        <v>0.21090019136999999</v>
      </c>
      <c r="N59" s="175">
        <v>0.20898023264000001</v>
      </c>
      <c r="O59" s="10"/>
      <c r="P59" s="10"/>
      <c r="Q59" s="10"/>
    </row>
    <row r="60" spans="1:17" ht="13" outlineLevel="4" x14ac:dyDescent="0.3">
      <c r="A60" s="174" t="s">
        <v>111</v>
      </c>
      <c r="B60" s="175">
        <v>0.62447708832000004</v>
      </c>
      <c r="C60" s="175">
        <v>0.60958618811999998</v>
      </c>
      <c r="D60" s="175">
        <v>0.60739424471000003</v>
      </c>
      <c r="E60" s="175">
        <v>0.60711617068000001</v>
      </c>
      <c r="F60" s="175">
        <v>0.60211359498999995</v>
      </c>
      <c r="G60" s="175">
        <v>0.60807159227999996</v>
      </c>
      <c r="H60" s="175">
        <v>0.60110103328999998</v>
      </c>
      <c r="I60" s="175">
        <v>0.60846438989999996</v>
      </c>
      <c r="J60" s="175">
        <v>0.62381732079999996</v>
      </c>
      <c r="K60" s="175">
        <v>0.62758519319999995</v>
      </c>
      <c r="L60" s="175">
        <v>0.60790775628000004</v>
      </c>
      <c r="M60" s="175">
        <v>0.59284108222999998</v>
      </c>
      <c r="N60" s="175">
        <v>0.58744407237999996</v>
      </c>
      <c r="O60" s="10"/>
      <c r="P60" s="10"/>
      <c r="Q60" s="10"/>
    </row>
    <row r="61" spans="1:17" ht="13" outlineLevel="4" x14ac:dyDescent="0.3">
      <c r="A61" s="174" t="s">
        <v>112</v>
      </c>
      <c r="B61" s="175">
        <v>9.6949115109999998E-2</v>
      </c>
      <c r="C61" s="175">
        <v>9.463732557E-2</v>
      </c>
      <c r="D61" s="175">
        <v>9.4494067759999995E-2</v>
      </c>
      <c r="E61" s="175">
        <v>9.4534723880000004E-2</v>
      </c>
      <c r="F61" s="175">
        <v>9.3755767340000004E-2</v>
      </c>
      <c r="G61" s="175">
        <v>0.10037379502</v>
      </c>
      <c r="H61" s="175">
        <v>9.922317152E-2</v>
      </c>
      <c r="I61" s="175">
        <v>0.10633438135000001</v>
      </c>
      <c r="J61" s="175">
        <v>0.10975806808000001</v>
      </c>
      <c r="K61" s="175">
        <v>0.11029888784</v>
      </c>
      <c r="L61" s="175">
        <v>0.10691543169999999</v>
      </c>
      <c r="M61" s="175">
        <v>0.10426558895</v>
      </c>
      <c r="N61" s="175">
        <v>0.10378189140999999</v>
      </c>
      <c r="O61" s="10"/>
      <c r="P61" s="10"/>
      <c r="Q61" s="10"/>
    </row>
    <row r="62" spans="1:17" ht="13" outlineLevel="4" x14ac:dyDescent="0.3">
      <c r="A62" s="174" t="s">
        <v>113</v>
      </c>
      <c r="B62" s="175">
        <v>0</v>
      </c>
      <c r="C62" s="175">
        <v>0</v>
      </c>
      <c r="D62" s="175">
        <v>0</v>
      </c>
      <c r="E62" s="175">
        <v>0</v>
      </c>
      <c r="F62" s="175">
        <v>0</v>
      </c>
      <c r="G62" s="175">
        <v>0</v>
      </c>
      <c r="H62" s="175">
        <v>0</v>
      </c>
      <c r="I62" s="175">
        <v>0</v>
      </c>
      <c r="J62" s="175">
        <v>0</v>
      </c>
      <c r="K62" s="175">
        <v>0</v>
      </c>
      <c r="L62" s="175">
        <v>0</v>
      </c>
      <c r="M62" s="175">
        <v>0.1</v>
      </c>
      <c r="N62" s="175">
        <v>0.1</v>
      </c>
      <c r="O62" s="10"/>
      <c r="P62" s="10"/>
      <c r="Q62" s="10"/>
    </row>
    <row r="63" spans="1:17" ht="13" outlineLevel="4" x14ac:dyDescent="0.3">
      <c r="A63" s="174" t="s">
        <v>114</v>
      </c>
      <c r="B63" s="175">
        <v>4.7255449999999998E-4</v>
      </c>
      <c r="C63" s="175">
        <v>4.7255449999999998E-4</v>
      </c>
      <c r="D63" s="175">
        <v>4.7255449999999998E-4</v>
      </c>
      <c r="E63" s="175">
        <v>4.7255449999999998E-4</v>
      </c>
      <c r="F63" s="175">
        <v>4.7255449999999998E-4</v>
      </c>
      <c r="G63" s="175">
        <v>4.7255449999999998E-4</v>
      </c>
      <c r="H63" s="175">
        <v>4.7255449999999998E-4</v>
      </c>
      <c r="I63" s="175">
        <v>4.7255449999999998E-4</v>
      </c>
      <c r="J63" s="175">
        <v>4.7255449999999998E-4</v>
      </c>
      <c r="K63" s="175">
        <v>4.7255449999999998E-4</v>
      </c>
      <c r="L63" s="175">
        <v>4.7255449999999998E-4</v>
      </c>
      <c r="M63" s="175">
        <v>4.7255449999999998E-4</v>
      </c>
      <c r="N63" s="175">
        <v>5.1251526E-4</v>
      </c>
      <c r="O63" s="10"/>
      <c r="P63" s="10"/>
      <c r="Q63" s="10"/>
    </row>
    <row r="64" spans="1:17" ht="13" outlineLevel="4" x14ac:dyDescent="0.3">
      <c r="A64" s="174" t="s">
        <v>115</v>
      </c>
      <c r="B64" s="175">
        <v>0.4994446609</v>
      </c>
      <c r="C64" s="175">
        <v>0.48753520775999998</v>
      </c>
      <c r="D64" s="175">
        <v>0.48578213394999997</v>
      </c>
      <c r="E64" s="175">
        <v>0.48167919678999999</v>
      </c>
      <c r="F64" s="175">
        <v>0.47972653660999998</v>
      </c>
      <c r="G64" s="175">
        <v>0.48447349704999998</v>
      </c>
      <c r="H64" s="175">
        <v>0.47722594792</v>
      </c>
      <c r="I64" s="175">
        <v>0.48549150555999998</v>
      </c>
      <c r="J64" s="175">
        <v>0.49759930437</v>
      </c>
      <c r="K64" s="175">
        <v>0.4954515806</v>
      </c>
      <c r="L64" s="175">
        <v>0.47991708849999998</v>
      </c>
      <c r="M64" s="175">
        <v>0.47100463383000002</v>
      </c>
      <c r="N64" s="175">
        <v>0.46506189307000001</v>
      </c>
      <c r="O64" s="10"/>
      <c r="P64" s="10"/>
      <c r="Q64" s="10"/>
    </row>
    <row r="65" spans="1:17" ht="13" outlineLevel="4" x14ac:dyDescent="0.3">
      <c r="A65" s="174" t="s">
        <v>116</v>
      </c>
      <c r="B65" s="175">
        <v>0.94627132542000003</v>
      </c>
      <c r="C65" s="175">
        <v>0.90459581158000002</v>
      </c>
      <c r="D65" s="175">
        <v>0.88494597796999996</v>
      </c>
      <c r="E65" s="175">
        <v>0.88200048298</v>
      </c>
      <c r="F65" s="175">
        <v>0.85349433202000002</v>
      </c>
      <c r="G65" s="175">
        <v>0.85099195671000005</v>
      </c>
      <c r="H65" s="175">
        <v>0.83076486373000002</v>
      </c>
      <c r="I65" s="175">
        <v>0.86118127385999999</v>
      </c>
      <c r="J65" s="175">
        <v>0.92234639003999996</v>
      </c>
      <c r="K65" s="175">
        <v>0.93175433241000005</v>
      </c>
      <c r="L65" s="175">
        <v>0.86979608578000001</v>
      </c>
      <c r="M65" s="175">
        <v>0.87875849276999995</v>
      </c>
      <c r="N65" s="175">
        <v>0.84658439538999997</v>
      </c>
      <c r="O65" s="10"/>
      <c r="P65" s="10"/>
      <c r="Q65" s="10"/>
    </row>
    <row r="66" spans="1:17" ht="13" outlineLevel="3" x14ac:dyDescent="0.3">
      <c r="A66" s="176" t="s">
        <v>117</v>
      </c>
      <c r="B66" s="175">
        <f t="shared" ref="B66:N66" si="8">SUM(B$67:B$67)</f>
        <v>0.60585586000000002</v>
      </c>
      <c r="C66" s="175">
        <f t="shared" si="8"/>
        <v>0.60585586000000002</v>
      </c>
      <c r="D66" s="175">
        <f t="shared" si="8"/>
        <v>0.60585586000000002</v>
      </c>
      <c r="E66" s="175">
        <f t="shared" si="8"/>
        <v>0.60585586000000002</v>
      </c>
      <c r="F66" s="175">
        <f t="shared" si="8"/>
        <v>0.60585586000000002</v>
      </c>
      <c r="G66" s="175">
        <f t="shared" si="8"/>
        <v>0.60585586000000002</v>
      </c>
      <c r="H66" s="175">
        <f t="shared" si="8"/>
        <v>0.60585586000000002</v>
      </c>
      <c r="I66" s="175">
        <f t="shared" si="8"/>
        <v>0.60585586000000002</v>
      </c>
      <c r="J66" s="175">
        <f t="shared" si="8"/>
        <v>0.60585586000000002</v>
      </c>
      <c r="K66" s="175">
        <f t="shared" si="8"/>
        <v>0.60585586000000002</v>
      </c>
      <c r="L66" s="175">
        <f t="shared" si="8"/>
        <v>0.60585586000000002</v>
      </c>
      <c r="M66" s="175">
        <f t="shared" si="8"/>
        <v>0.60585586000000002</v>
      </c>
      <c r="N66" s="175">
        <f t="shared" si="8"/>
        <v>0.60585586000000002</v>
      </c>
      <c r="O66" s="10"/>
      <c r="P66" s="10"/>
      <c r="Q66" s="10"/>
    </row>
    <row r="67" spans="1:17" ht="13" outlineLevel="4" x14ac:dyDescent="0.3">
      <c r="A67" s="174" t="s">
        <v>118</v>
      </c>
      <c r="B67" s="175">
        <v>0.60585586000000002</v>
      </c>
      <c r="C67" s="175">
        <v>0.60585586000000002</v>
      </c>
      <c r="D67" s="175">
        <v>0.60585586000000002</v>
      </c>
      <c r="E67" s="175">
        <v>0.60585586000000002</v>
      </c>
      <c r="F67" s="175">
        <v>0.60585586000000002</v>
      </c>
      <c r="G67" s="175">
        <v>0.60585586000000002</v>
      </c>
      <c r="H67" s="175">
        <v>0.60585586000000002</v>
      </c>
      <c r="I67" s="175">
        <v>0.60585586000000002</v>
      </c>
      <c r="J67" s="175">
        <v>0.60585586000000002</v>
      </c>
      <c r="K67" s="175">
        <v>0.60585586000000002</v>
      </c>
      <c r="L67" s="175">
        <v>0.60585586000000002</v>
      </c>
      <c r="M67" s="175">
        <v>0.60585586000000002</v>
      </c>
      <c r="N67" s="175">
        <v>0.60585586000000002</v>
      </c>
      <c r="O67" s="10"/>
      <c r="P67" s="10"/>
      <c r="Q67" s="10"/>
    </row>
    <row r="68" spans="1:17" ht="13" outlineLevel="3" x14ac:dyDescent="0.3">
      <c r="A68" s="176" t="s">
        <v>119</v>
      </c>
      <c r="B68" s="175">
        <f t="shared" ref="B68:N68" si="9">SUM(B$69:B$74)</f>
        <v>1.56620920958</v>
      </c>
      <c r="C68" s="175">
        <f t="shared" si="9"/>
        <v>1.5288623388900002</v>
      </c>
      <c r="D68" s="175">
        <f t="shared" si="9"/>
        <v>1.4979561883199999</v>
      </c>
      <c r="E68" s="175">
        <f t="shared" si="9"/>
        <v>1.6508844137299998</v>
      </c>
      <c r="F68" s="175">
        <f t="shared" si="9"/>
        <v>1.6332678938000003</v>
      </c>
      <c r="G68" s="175">
        <f t="shared" si="9"/>
        <v>1.64322328055</v>
      </c>
      <c r="H68" s="175">
        <f t="shared" si="9"/>
        <v>1.58765407129</v>
      </c>
      <c r="I68" s="175">
        <f t="shared" si="9"/>
        <v>1.61235429221</v>
      </c>
      <c r="J68" s="175">
        <f t="shared" si="9"/>
        <v>1.6189729982400001</v>
      </c>
      <c r="K68" s="175">
        <f t="shared" si="9"/>
        <v>1.61437461429</v>
      </c>
      <c r="L68" s="175">
        <f t="shared" si="9"/>
        <v>1.5633903921500001</v>
      </c>
      <c r="M68" s="175">
        <f t="shared" si="9"/>
        <v>1.52413786035</v>
      </c>
      <c r="N68" s="175">
        <f t="shared" si="9"/>
        <v>1.4786194744199999</v>
      </c>
      <c r="O68" s="10"/>
      <c r="P68" s="10"/>
      <c r="Q68" s="10"/>
    </row>
    <row r="69" spans="1:17" ht="13" outlineLevel="4" x14ac:dyDescent="0.3">
      <c r="A69" s="174" t="s">
        <v>120</v>
      </c>
      <c r="B69" s="175">
        <v>0.72231178122999995</v>
      </c>
      <c r="C69" s="175">
        <v>0.70508797455000005</v>
      </c>
      <c r="D69" s="175">
        <v>0.70255262682999997</v>
      </c>
      <c r="E69" s="175">
        <v>0.70213072454000003</v>
      </c>
      <c r="F69" s="175">
        <v>0.69634523860999997</v>
      </c>
      <c r="G69" s="175">
        <v>0.70323567102999995</v>
      </c>
      <c r="H69" s="175">
        <v>0.69517420953999998</v>
      </c>
      <c r="I69" s="175">
        <v>0.70368994203000002</v>
      </c>
      <c r="J69" s="175">
        <v>0.72123944831999998</v>
      </c>
      <c r="K69" s="175">
        <v>0.72559575280999999</v>
      </c>
      <c r="L69" s="175">
        <v>0.70284527240000005</v>
      </c>
      <c r="M69" s="175">
        <v>0.68542562194000001</v>
      </c>
      <c r="N69" s="175">
        <v>0.67918575608999998</v>
      </c>
      <c r="O69" s="10"/>
      <c r="P69" s="10"/>
      <c r="Q69" s="10"/>
    </row>
    <row r="70" spans="1:17" ht="13" outlineLevel="4" x14ac:dyDescent="0.3">
      <c r="A70" s="174" t="s">
        <v>121</v>
      </c>
      <c r="B70" s="175">
        <v>5.681727E-5</v>
      </c>
      <c r="C70" s="175">
        <v>5.5462440000000002E-5</v>
      </c>
      <c r="D70" s="175">
        <v>5.5263010000000003E-5</v>
      </c>
      <c r="E70" s="175">
        <v>5.5229819999999999E-5</v>
      </c>
      <c r="F70" s="175">
        <v>5.4774729999999998E-5</v>
      </c>
      <c r="G70" s="175">
        <v>5.5316730000000001E-5</v>
      </c>
      <c r="H70" s="175">
        <v>5.4682619999999999E-5</v>
      </c>
      <c r="I70" s="175">
        <v>5.535247E-5</v>
      </c>
      <c r="J70" s="175">
        <v>5.6732920000000002E-5</v>
      </c>
      <c r="K70" s="175">
        <v>5.7075589999999999E-5</v>
      </c>
      <c r="L70" s="175">
        <v>5.5286030000000001E-5</v>
      </c>
      <c r="M70" s="175">
        <v>5.3915790000000002E-5</v>
      </c>
      <c r="N70" s="175">
        <v>5.3424960000000002E-5</v>
      </c>
      <c r="O70" s="10"/>
      <c r="P70" s="10"/>
      <c r="Q70" s="10"/>
    </row>
    <row r="71" spans="1:17" ht="13" outlineLevel="4" x14ac:dyDescent="0.3">
      <c r="A71" s="174" t="s">
        <v>122</v>
      </c>
      <c r="B71" s="175">
        <v>4.3185847999999997E-3</v>
      </c>
      <c r="C71" s="175">
        <v>4.2156064600000001E-3</v>
      </c>
      <c r="D71" s="175">
        <v>4.2004480299999997E-3</v>
      </c>
      <c r="E71" s="175">
        <v>4.1979255400000004E-3</v>
      </c>
      <c r="F71" s="175">
        <v>4.1633350600000004E-3</v>
      </c>
      <c r="G71" s="175">
        <v>4.2045318400000002E-3</v>
      </c>
      <c r="H71" s="175">
        <v>4.1563336699999998E-3</v>
      </c>
      <c r="I71" s="175">
        <v>4.20724785E-3</v>
      </c>
      <c r="J71" s="175">
        <v>4.3121734999999996E-3</v>
      </c>
      <c r="K71" s="175">
        <v>4.3382191400000002E-3</v>
      </c>
      <c r="L71" s="175">
        <v>4.2021977100000002E-3</v>
      </c>
      <c r="M71" s="175">
        <v>4.0980484499999999E-3</v>
      </c>
      <c r="N71" s="175">
        <v>6.7086455600000004E-3</v>
      </c>
      <c r="O71" s="10"/>
      <c r="P71" s="10"/>
      <c r="Q71" s="10"/>
    </row>
    <row r="72" spans="1:17" ht="13" outlineLevel="4" x14ac:dyDescent="0.3">
      <c r="A72" s="174" t="s">
        <v>123</v>
      </c>
      <c r="B72" s="175">
        <v>0.2708811217</v>
      </c>
      <c r="C72" s="175">
        <v>0.26442185547000002</v>
      </c>
      <c r="D72" s="175">
        <v>0.26409687530999998</v>
      </c>
      <c r="E72" s="175">
        <v>0.25020198264999999</v>
      </c>
      <c r="F72" s="175">
        <v>0.24413870237999999</v>
      </c>
      <c r="G72" s="175">
        <v>0.23963246579</v>
      </c>
      <c r="H72" s="175">
        <v>0.22552662536000001</v>
      </c>
      <c r="I72" s="175">
        <v>0.23288919786000001</v>
      </c>
      <c r="J72" s="175">
        <v>0.23159804617999999</v>
      </c>
      <c r="K72" s="175">
        <v>0.21692416289999999</v>
      </c>
      <c r="L72" s="175">
        <v>0.21012267749999999</v>
      </c>
      <c r="M72" s="175">
        <v>0.20382282198000001</v>
      </c>
      <c r="N72" s="175">
        <v>0.19288559186000001</v>
      </c>
      <c r="O72" s="10"/>
      <c r="P72" s="10"/>
      <c r="Q72" s="10"/>
    </row>
    <row r="73" spans="1:17" ht="13" outlineLevel="4" x14ac:dyDescent="0.3">
      <c r="A73" s="174" t="s">
        <v>124</v>
      </c>
      <c r="B73" s="175">
        <v>0.56864090458000005</v>
      </c>
      <c r="C73" s="175">
        <v>0.55508143997000003</v>
      </c>
      <c r="D73" s="175">
        <v>0.52705097513999999</v>
      </c>
      <c r="E73" s="175">
        <v>0.52673446647</v>
      </c>
      <c r="F73" s="175">
        <v>0.52239422787000001</v>
      </c>
      <c r="G73" s="175">
        <v>0.52756339101000005</v>
      </c>
      <c r="H73" s="175">
        <v>0.49512524250000001</v>
      </c>
      <c r="I73" s="175">
        <v>0.50119041879000004</v>
      </c>
      <c r="J73" s="175">
        <v>0.48696274988999999</v>
      </c>
      <c r="K73" s="175">
        <v>0.48990401722999999</v>
      </c>
      <c r="L73" s="175">
        <v>0.47454346459000002</v>
      </c>
      <c r="M73" s="175">
        <v>0.46278215436999998</v>
      </c>
      <c r="N73" s="175">
        <v>0.43278562789000002</v>
      </c>
      <c r="O73" s="10"/>
      <c r="P73" s="10"/>
      <c r="Q73" s="10"/>
    </row>
    <row r="74" spans="1:17" ht="13" outlineLevel="4" x14ac:dyDescent="0.3">
      <c r="A74" s="174" t="s">
        <v>125</v>
      </c>
      <c r="B74" s="175">
        <v>0</v>
      </c>
      <c r="C74" s="175">
        <v>0</v>
      </c>
      <c r="D74" s="175">
        <v>0</v>
      </c>
      <c r="E74" s="175">
        <v>0.16756408471000001</v>
      </c>
      <c r="F74" s="175">
        <v>0.16617161515000001</v>
      </c>
      <c r="G74" s="175">
        <v>0.16853190414999999</v>
      </c>
      <c r="H74" s="175">
        <v>0.16761697759999999</v>
      </c>
      <c r="I74" s="175">
        <v>0.17032213321</v>
      </c>
      <c r="J74" s="175">
        <v>0.17480384742999999</v>
      </c>
      <c r="K74" s="175">
        <v>0.17755538662000001</v>
      </c>
      <c r="L74" s="175">
        <v>0.17162149392000001</v>
      </c>
      <c r="M74" s="175">
        <v>0.16795529781999999</v>
      </c>
      <c r="N74" s="175">
        <v>0.16700042806000001</v>
      </c>
      <c r="O74" s="10"/>
      <c r="P74" s="10"/>
      <c r="Q74" s="10"/>
    </row>
    <row r="75" spans="1:17" ht="13" outlineLevel="3" x14ac:dyDescent="0.3">
      <c r="A75" s="176" t="s">
        <v>126</v>
      </c>
      <c r="B75" s="175">
        <f t="shared" ref="B75:N75" si="10">SUM(B$76:B$82)</f>
        <v>19.760940011999999</v>
      </c>
      <c r="C75" s="175">
        <f t="shared" si="10"/>
        <v>19.701319142589998</v>
      </c>
      <c r="D75" s="175">
        <f t="shared" si="10"/>
        <v>19.692542939020001</v>
      </c>
      <c r="E75" s="175">
        <f t="shared" si="10"/>
        <v>19.69108250807</v>
      </c>
      <c r="F75" s="175">
        <f t="shared" si="10"/>
        <v>19.67105582584</v>
      </c>
      <c r="G75" s="175">
        <f t="shared" si="10"/>
        <v>19.69490732277</v>
      </c>
      <c r="H75" s="175">
        <f t="shared" si="10"/>
        <v>19.667002263640001</v>
      </c>
      <c r="I75" s="175">
        <f t="shared" si="10"/>
        <v>19.69647979929</v>
      </c>
      <c r="J75" s="175">
        <f t="shared" si="10"/>
        <v>15.219165084</v>
      </c>
      <c r="K75" s="175">
        <f t="shared" si="10"/>
        <v>15.219165084</v>
      </c>
      <c r="L75" s="175">
        <f t="shared" si="10"/>
        <v>15.219165084</v>
      </c>
      <c r="M75" s="175">
        <f t="shared" si="10"/>
        <v>15.219165084</v>
      </c>
      <c r="N75" s="175">
        <f t="shared" si="10"/>
        <v>15.219165084</v>
      </c>
      <c r="O75" s="10"/>
      <c r="P75" s="10"/>
      <c r="Q75" s="10"/>
    </row>
    <row r="76" spans="1:17" ht="13" outlineLevel="4" x14ac:dyDescent="0.3">
      <c r="A76" s="174" t="s">
        <v>127</v>
      </c>
      <c r="B76" s="175">
        <v>7.5606299999999997</v>
      </c>
      <c r="C76" s="175">
        <v>7.5606299999999997</v>
      </c>
      <c r="D76" s="175">
        <v>7.5606299999999997</v>
      </c>
      <c r="E76" s="175">
        <v>7.5606299999999997</v>
      </c>
      <c r="F76" s="175">
        <v>7.5606299999999997</v>
      </c>
      <c r="G76" s="175">
        <v>7.5606299999999997</v>
      </c>
      <c r="H76" s="175">
        <v>7.5606299999999997</v>
      </c>
      <c r="I76" s="175">
        <v>7.5606299999999997</v>
      </c>
      <c r="J76" s="175">
        <v>0</v>
      </c>
      <c r="K76" s="175">
        <v>0</v>
      </c>
      <c r="L76" s="175">
        <v>0</v>
      </c>
      <c r="M76" s="175">
        <v>0</v>
      </c>
      <c r="N76" s="175">
        <v>0</v>
      </c>
      <c r="O76" s="10"/>
      <c r="P76" s="10"/>
      <c r="Q76" s="10"/>
    </row>
    <row r="77" spans="1:17" ht="13" outlineLevel="4" x14ac:dyDescent="0.3">
      <c r="A77" s="174" t="s">
        <v>129</v>
      </c>
      <c r="B77" s="175">
        <v>3</v>
      </c>
      <c r="C77" s="175">
        <v>3</v>
      </c>
      <c r="D77" s="175">
        <v>3</v>
      </c>
      <c r="E77" s="175">
        <v>3</v>
      </c>
      <c r="F77" s="175">
        <v>3</v>
      </c>
      <c r="G77" s="175">
        <v>3</v>
      </c>
      <c r="H77" s="175">
        <v>3</v>
      </c>
      <c r="I77" s="175">
        <v>3</v>
      </c>
      <c r="J77" s="175">
        <v>0</v>
      </c>
      <c r="K77" s="175">
        <v>0</v>
      </c>
      <c r="L77" s="175">
        <v>0</v>
      </c>
      <c r="M77" s="175">
        <v>0</v>
      </c>
      <c r="N77" s="175">
        <v>0</v>
      </c>
      <c r="O77" s="10"/>
      <c r="P77" s="10"/>
      <c r="Q77" s="10"/>
    </row>
    <row r="78" spans="1:17" ht="13" outlineLevel="4" x14ac:dyDescent="0.3">
      <c r="A78" s="174" t="s">
        <v>130</v>
      </c>
      <c r="B78" s="175">
        <v>2.35</v>
      </c>
      <c r="C78" s="175">
        <v>2.35</v>
      </c>
      <c r="D78" s="175">
        <v>2.35</v>
      </c>
      <c r="E78" s="175">
        <v>2.35</v>
      </c>
      <c r="F78" s="175">
        <v>2.35</v>
      </c>
      <c r="G78" s="175">
        <v>2.35</v>
      </c>
      <c r="H78" s="175">
        <v>2.35</v>
      </c>
      <c r="I78" s="175">
        <v>2.35</v>
      </c>
      <c r="J78" s="175">
        <v>0</v>
      </c>
      <c r="K78" s="175">
        <v>0</v>
      </c>
      <c r="L78" s="175">
        <v>0</v>
      </c>
      <c r="M78" s="175">
        <v>0</v>
      </c>
      <c r="N78" s="175">
        <v>0</v>
      </c>
      <c r="O78" s="10"/>
      <c r="P78" s="10"/>
      <c r="Q78" s="10"/>
    </row>
    <row r="79" spans="1:17" ht="13" outlineLevel="4" x14ac:dyDescent="0.3">
      <c r="A79" s="174" t="s">
        <v>131</v>
      </c>
      <c r="B79" s="175">
        <v>1.1112488942200001</v>
      </c>
      <c r="C79" s="175">
        <v>1.0847507300400001</v>
      </c>
      <c r="D79" s="175">
        <v>1.08085019512</v>
      </c>
      <c r="E79" s="175">
        <v>1.0802011146999999</v>
      </c>
      <c r="F79" s="175">
        <v>1.0713003670400001</v>
      </c>
      <c r="G79" s="175">
        <v>1.08190103234</v>
      </c>
      <c r="H79" s="175">
        <v>1.0694987838400001</v>
      </c>
      <c r="I79" s="175">
        <v>1.0825999108</v>
      </c>
      <c r="J79" s="175">
        <v>0</v>
      </c>
      <c r="K79" s="175">
        <v>0</v>
      </c>
      <c r="L79" s="175">
        <v>0</v>
      </c>
      <c r="M79" s="175">
        <v>0</v>
      </c>
      <c r="N79" s="175">
        <v>0</v>
      </c>
      <c r="O79" s="10"/>
      <c r="P79" s="10"/>
      <c r="Q79" s="10"/>
    </row>
    <row r="80" spans="1:17" ht="13" outlineLevel="4" x14ac:dyDescent="0.3">
      <c r="A80" s="174" t="s">
        <v>132</v>
      </c>
      <c r="B80" s="175">
        <v>3.9890611177799999</v>
      </c>
      <c r="C80" s="175">
        <v>3.9559384125500001</v>
      </c>
      <c r="D80" s="175">
        <v>3.9510627439000001</v>
      </c>
      <c r="E80" s="175">
        <v>3.9502513933699999</v>
      </c>
      <c r="F80" s="175">
        <v>3.9391254588</v>
      </c>
      <c r="G80" s="175">
        <v>3.9523762904300002</v>
      </c>
      <c r="H80" s="175">
        <v>3.9368734798</v>
      </c>
      <c r="I80" s="175">
        <v>3.9532498884899998</v>
      </c>
      <c r="J80" s="175">
        <v>0</v>
      </c>
      <c r="K80" s="175">
        <v>0</v>
      </c>
      <c r="L80" s="175">
        <v>0</v>
      </c>
      <c r="M80" s="175">
        <v>0</v>
      </c>
      <c r="N80" s="175">
        <v>0</v>
      </c>
      <c r="O80" s="10"/>
      <c r="P80" s="10"/>
      <c r="Q80" s="10"/>
    </row>
    <row r="81" spans="1:17" ht="13" outlineLevel="4" x14ac:dyDescent="0.3">
      <c r="A81" s="174" t="s">
        <v>133</v>
      </c>
      <c r="B81" s="175">
        <v>1.75</v>
      </c>
      <c r="C81" s="175">
        <v>1.75</v>
      </c>
      <c r="D81" s="175">
        <v>1.75</v>
      </c>
      <c r="E81" s="175">
        <v>1.75</v>
      </c>
      <c r="F81" s="175">
        <v>1.75</v>
      </c>
      <c r="G81" s="175">
        <v>1.75</v>
      </c>
      <c r="H81" s="175">
        <v>1.75</v>
      </c>
      <c r="I81" s="175">
        <v>1.75</v>
      </c>
      <c r="J81" s="175">
        <v>0</v>
      </c>
      <c r="K81" s="175">
        <v>0</v>
      </c>
      <c r="L81" s="175">
        <v>0</v>
      </c>
      <c r="M81" s="175">
        <v>0</v>
      </c>
      <c r="N81" s="175">
        <v>0</v>
      </c>
      <c r="O81" s="10"/>
      <c r="P81" s="10"/>
      <c r="Q81" s="10"/>
    </row>
    <row r="82" spans="1:17" ht="13" outlineLevel="4" x14ac:dyDescent="0.3">
      <c r="A82" s="174" t="s">
        <v>134</v>
      </c>
      <c r="B82" s="175">
        <v>0</v>
      </c>
      <c r="C82" s="175">
        <v>0</v>
      </c>
      <c r="D82" s="175">
        <v>0</v>
      </c>
      <c r="E82" s="175">
        <v>0</v>
      </c>
      <c r="F82" s="175">
        <v>0</v>
      </c>
      <c r="G82" s="175">
        <v>0</v>
      </c>
      <c r="H82" s="175">
        <v>0</v>
      </c>
      <c r="I82" s="175">
        <v>0</v>
      </c>
      <c r="J82" s="175">
        <v>15.219165084</v>
      </c>
      <c r="K82" s="175">
        <v>15.219165084</v>
      </c>
      <c r="L82" s="175">
        <v>15.219165084</v>
      </c>
      <c r="M82" s="175">
        <v>15.219165084</v>
      </c>
      <c r="N82" s="175">
        <v>15.219165084</v>
      </c>
      <c r="O82" s="10"/>
      <c r="P82" s="10"/>
      <c r="Q82" s="10"/>
    </row>
    <row r="83" spans="1:17" ht="13" outlineLevel="3" x14ac:dyDescent="0.3">
      <c r="A83" s="176" t="s">
        <v>135</v>
      </c>
      <c r="B83" s="175">
        <f t="shared" ref="B83:N83" si="11">SUM(B$84:B$84)</f>
        <v>3</v>
      </c>
      <c r="C83" s="175">
        <f t="shared" si="11"/>
        <v>3</v>
      </c>
      <c r="D83" s="175">
        <f t="shared" si="11"/>
        <v>3</v>
      </c>
      <c r="E83" s="175">
        <f t="shared" si="11"/>
        <v>3</v>
      </c>
      <c r="F83" s="175">
        <f t="shared" si="11"/>
        <v>3</v>
      </c>
      <c r="G83" s="175">
        <f t="shared" si="11"/>
        <v>3</v>
      </c>
      <c r="H83" s="175">
        <f t="shared" si="11"/>
        <v>3</v>
      </c>
      <c r="I83" s="175">
        <f t="shared" si="11"/>
        <v>3</v>
      </c>
      <c r="J83" s="175">
        <f t="shared" si="11"/>
        <v>3</v>
      </c>
      <c r="K83" s="175">
        <f t="shared" si="11"/>
        <v>3</v>
      </c>
      <c r="L83" s="175">
        <f t="shared" si="11"/>
        <v>3</v>
      </c>
      <c r="M83" s="175">
        <f t="shared" si="11"/>
        <v>3</v>
      </c>
      <c r="N83" s="175">
        <f t="shared" si="11"/>
        <v>3</v>
      </c>
      <c r="O83" s="10"/>
      <c r="P83" s="10"/>
      <c r="Q83" s="10"/>
    </row>
    <row r="84" spans="1:17" ht="13" outlineLevel="4" x14ac:dyDescent="0.3">
      <c r="A84" s="174" t="s">
        <v>136</v>
      </c>
      <c r="B84" s="175">
        <v>3</v>
      </c>
      <c r="C84" s="175">
        <v>3</v>
      </c>
      <c r="D84" s="175">
        <v>3</v>
      </c>
      <c r="E84" s="175">
        <v>3</v>
      </c>
      <c r="F84" s="175">
        <v>3</v>
      </c>
      <c r="G84" s="175">
        <v>3</v>
      </c>
      <c r="H84" s="175">
        <v>3</v>
      </c>
      <c r="I84" s="175">
        <v>3</v>
      </c>
      <c r="J84" s="175">
        <v>3</v>
      </c>
      <c r="K84" s="175">
        <v>3</v>
      </c>
      <c r="L84" s="175">
        <v>3</v>
      </c>
      <c r="M84" s="175">
        <v>3</v>
      </c>
      <c r="N84" s="175">
        <v>3</v>
      </c>
      <c r="O84" s="10"/>
      <c r="P84" s="10"/>
      <c r="Q84" s="10"/>
    </row>
    <row r="85" spans="1:17" ht="13" outlineLevel="3" x14ac:dyDescent="0.3">
      <c r="A85" s="176" t="s">
        <v>137</v>
      </c>
      <c r="B85" s="175">
        <f t="shared" ref="B85:N85" si="12">SUM(B$86:B$86)</f>
        <v>4.2346040658300002</v>
      </c>
      <c r="C85" s="175">
        <f t="shared" si="12"/>
        <v>4.1974077769100004</v>
      </c>
      <c r="D85" s="175">
        <f t="shared" si="12"/>
        <v>4.1900857881500002</v>
      </c>
      <c r="E85" s="175">
        <f t="shared" si="12"/>
        <v>4.1789899822400001</v>
      </c>
      <c r="F85" s="175">
        <f t="shared" si="12"/>
        <v>4.1596748313600003</v>
      </c>
      <c r="G85" s="175">
        <f t="shared" si="12"/>
        <v>4.1773805033200002</v>
      </c>
      <c r="H85" s="175">
        <f t="shared" si="12"/>
        <v>4.1515169155800002</v>
      </c>
      <c r="I85" s="175">
        <f t="shared" si="12"/>
        <v>4.1927909164399999</v>
      </c>
      <c r="J85" s="175">
        <f t="shared" si="12"/>
        <v>4.2501828764500003</v>
      </c>
      <c r="K85" s="175">
        <f t="shared" si="12"/>
        <v>4.28100739994</v>
      </c>
      <c r="L85" s="175">
        <f t="shared" si="12"/>
        <v>4.2029301677199999</v>
      </c>
      <c r="M85" s="175">
        <f t="shared" si="12"/>
        <v>4.1567001338700003</v>
      </c>
      <c r="N85" s="175">
        <f t="shared" si="12"/>
        <v>4.1161355888799998</v>
      </c>
      <c r="O85" s="10"/>
      <c r="P85" s="10"/>
      <c r="Q85" s="10"/>
    </row>
    <row r="86" spans="1:17" ht="13" outlineLevel="4" x14ac:dyDescent="0.3">
      <c r="A86" s="174" t="s">
        <v>104</v>
      </c>
      <c r="B86" s="175">
        <v>4.2346040658300002</v>
      </c>
      <c r="C86" s="175">
        <v>4.1974077769100004</v>
      </c>
      <c r="D86" s="175">
        <v>4.1900857881500002</v>
      </c>
      <c r="E86" s="175">
        <v>4.1789899822400001</v>
      </c>
      <c r="F86" s="175">
        <v>4.1596748313600003</v>
      </c>
      <c r="G86" s="175">
        <v>4.1773805033200002</v>
      </c>
      <c r="H86" s="175">
        <v>4.1515169155800002</v>
      </c>
      <c r="I86" s="175">
        <v>4.1927909164399999</v>
      </c>
      <c r="J86" s="175">
        <v>4.2501828764500003</v>
      </c>
      <c r="K86" s="175">
        <v>4.28100739994</v>
      </c>
      <c r="L86" s="175">
        <v>4.2029301677199999</v>
      </c>
      <c r="M86" s="175">
        <v>4.1567001338700003</v>
      </c>
      <c r="N86" s="175">
        <v>4.1161355888799998</v>
      </c>
      <c r="O86" s="10"/>
      <c r="P86" s="10"/>
      <c r="Q86" s="10"/>
    </row>
    <row r="87" spans="1:17" ht="14.5" outlineLevel="1" x14ac:dyDescent="0.35">
      <c r="A87" s="179" t="s">
        <v>2</v>
      </c>
      <c r="B87" s="180">
        <f t="shared" ref="B87:N87" si="13">B$88+B$104</f>
        <v>8.7289038365499998</v>
      </c>
      <c r="C87" s="180">
        <f t="shared" si="13"/>
        <v>8.8106985994699993</v>
      </c>
      <c r="D87" s="180">
        <f t="shared" si="13"/>
        <v>8.4490557534099988</v>
      </c>
      <c r="E87" s="180">
        <f t="shared" si="13"/>
        <v>7.9504867738799998</v>
      </c>
      <c r="F87" s="180">
        <f t="shared" si="13"/>
        <v>7.8442549327600002</v>
      </c>
      <c r="G87" s="180">
        <f t="shared" si="13"/>
        <v>7.8428185402899997</v>
      </c>
      <c r="H87" s="180">
        <f t="shared" si="13"/>
        <v>7.8423842940000013</v>
      </c>
      <c r="I87" s="180">
        <f t="shared" si="13"/>
        <v>7.8950089007300006</v>
      </c>
      <c r="J87" s="180">
        <f t="shared" si="13"/>
        <v>7.1123564599999991</v>
      </c>
      <c r="K87" s="180">
        <f t="shared" si="13"/>
        <v>6.9746575150099996</v>
      </c>
      <c r="L87" s="180">
        <f t="shared" si="13"/>
        <v>6.7620519038399998</v>
      </c>
      <c r="M87" s="180">
        <f t="shared" si="13"/>
        <v>6.7158063363100009</v>
      </c>
      <c r="N87" s="180">
        <f t="shared" si="13"/>
        <v>6.8629393971300008</v>
      </c>
      <c r="O87" s="10"/>
      <c r="P87" s="10"/>
      <c r="Q87" s="10"/>
    </row>
    <row r="88" spans="1:17" ht="14.5" outlineLevel="2" x14ac:dyDescent="0.35">
      <c r="A88" s="177" t="s">
        <v>57</v>
      </c>
      <c r="B88" s="178">
        <f t="shared" ref="B88:N88" si="14">B$89+B$94+B$102</f>
        <v>1.8113315413799997</v>
      </c>
      <c r="C88" s="178">
        <f t="shared" si="14"/>
        <v>1.7888833321100002</v>
      </c>
      <c r="D88" s="178">
        <f t="shared" si="14"/>
        <v>1.7533603149900001</v>
      </c>
      <c r="E88" s="178">
        <f t="shared" si="14"/>
        <v>1.7064990142900003</v>
      </c>
      <c r="F88" s="178">
        <f t="shared" si="14"/>
        <v>1.7188414513799999</v>
      </c>
      <c r="G88" s="178">
        <f t="shared" si="14"/>
        <v>1.6998822441500001</v>
      </c>
      <c r="H88" s="178">
        <f t="shared" si="14"/>
        <v>1.7024609638099999</v>
      </c>
      <c r="I88" s="178">
        <f t="shared" si="14"/>
        <v>1.69395879091</v>
      </c>
      <c r="J88" s="178">
        <f t="shared" si="14"/>
        <v>1.7001961916300004</v>
      </c>
      <c r="K88" s="178">
        <f t="shared" si="14"/>
        <v>1.6324928217400001</v>
      </c>
      <c r="L88" s="178">
        <f t="shared" si="14"/>
        <v>1.6015865521299999</v>
      </c>
      <c r="M88" s="178">
        <f t="shared" si="14"/>
        <v>1.6004571893900001</v>
      </c>
      <c r="N88" s="178">
        <f t="shared" si="14"/>
        <v>1.6498361975499998</v>
      </c>
      <c r="O88" s="10"/>
      <c r="P88" s="10"/>
      <c r="Q88" s="10"/>
    </row>
    <row r="89" spans="1:17" ht="13" outlineLevel="3" x14ac:dyDescent="0.3">
      <c r="A89" s="176" t="s">
        <v>58</v>
      </c>
      <c r="B89" s="175">
        <f t="shared" ref="B89:N89" si="15">SUM(B$90:B$93)</f>
        <v>0.2099659737</v>
      </c>
      <c r="C89" s="175">
        <f t="shared" si="15"/>
        <v>0.21056358614000004</v>
      </c>
      <c r="D89" s="175">
        <f t="shared" si="15"/>
        <v>0.20872786374999999</v>
      </c>
      <c r="E89" s="175">
        <f t="shared" si="15"/>
        <v>0.20333317015999999</v>
      </c>
      <c r="F89" s="175">
        <f t="shared" si="15"/>
        <v>0.20103990037000002</v>
      </c>
      <c r="G89" s="175">
        <f t="shared" si="15"/>
        <v>0.19691338046000001</v>
      </c>
      <c r="H89" s="175">
        <f t="shared" si="15"/>
        <v>0.196732193</v>
      </c>
      <c r="I89" s="175">
        <f t="shared" si="15"/>
        <v>0.19437451955999999</v>
      </c>
      <c r="J89" s="175">
        <f t="shared" si="15"/>
        <v>0.19361476665999999</v>
      </c>
      <c r="K89" s="175">
        <f t="shared" si="15"/>
        <v>0.10870543937999999</v>
      </c>
      <c r="L89" s="175">
        <f t="shared" si="15"/>
        <v>0.10840891492999999</v>
      </c>
      <c r="M89" s="175">
        <f t="shared" si="15"/>
        <v>0.10758377328</v>
      </c>
      <c r="N89" s="175">
        <f t="shared" si="15"/>
        <v>0.10644904969000001</v>
      </c>
      <c r="O89" s="10"/>
      <c r="P89" s="10"/>
      <c r="Q89" s="10"/>
    </row>
    <row r="90" spans="1:17" ht="13" outlineLevel="4" x14ac:dyDescent="0.3">
      <c r="A90" s="174" t="s">
        <v>138</v>
      </c>
      <c r="B90" s="175">
        <v>3.0540000000000002E-7</v>
      </c>
      <c r="C90" s="175">
        <v>3.0627E-7</v>
      </c>
      <c r="D90" s="175">
        <v>3.0359999999999999E-7</v>
      </c>
      <c r="E90" s="175">
        <v>2.9576E-7</v>
      </c>
      <c r="F90" s="175">
        <v>2.9242000000000002E-7</v>
      </c>
      <c r="G90" s="175">
        <v>2.8641999999999999E-7</v>
      </c>
      <c r="H90" s="175">
        <v>2.8616000000000002E-7</v>
      </c>
      <c r="I90" s="175">
        <v>2.8272999999999999E-7</v>
      </c>
      <c r="J90" s="175">
        <v>2.8162E-7</v>
      </c>
      <c r="K90" s="175">
        <v>2.8178000000000003E-7</v>
      </c>
      <c r="L90" s="175">
        <v>2.8101E-7</v>
      </c>
      <c r="M90" s="175">
        <v>2.7888000000000002E-7</v>
      </c>
      <c r="N90" s="175">
        <v>2.7593000000000001E-7</v>
      </c>
      <c r="O90" s="10"/>
      <c r="P90" s="10"/>
      <c r="Q90" s="10"/>
    </row>
    <row r="91" spans="1:17" ht="13" outlineLevel="4" x14ac:dyDescent="0.3">
      <c r="A91" s="174" t="s">
        <v>139</v>
      </c>
      <c r="B91" s="175">
        <v>6.5161759129999997E-2</v>
      </c>
      <c r="C91" s="175">
        <v>6.5347224790000005E-2</v>
      </c>
      <c r="D91" s="175">
        <v>6.4777518670000006E-2</v>
      </c>
      <c r="E91" s="175">
        <v>6.3103305849999999E-2</v>
      </c>
      <c r="F91" s="175">
        <v>6.2391602460000001E-2</v>
      </c>
      <c r="G91" s="175">
        <v>6.1110960220000003E-2</v>
      </c>
      <c r="H91" s="175">
        <v>6.1054729709999998E-2</v>
      </c>
      <c r="I91" s="175">
        <v>6.0323039019999997E-2</v>
      </c>
      <c r="J91" s="175">
        <v>6.0087253979999998E-2</v>
      </c>
      <c r="K91" s="175">
        <v>6.0121846940000001E-2</v>
      </c>
      <c r="L91" s="175">
        <v>5.9957847809999999E-2</v>
      </c>
      <c r="M91" s="175">
        <v>5.9501485729999998E-2</v>
      </c>
      <c r="N91" s="175">
        <v>5.8873902810000003E-2</v>
      </c>
      <c r="O91" s="10"/>
      <c r="P91" s="10"/>
      <c r="Q91" s="10"/>
    </row>
    <row r="92" spans="1:17" ht="13" outlineLevel="4" x14ac:dyDescent="0.3">
      <c r="A92" s="174" t="s">
        <v>143</v>
      </c>
      <c r="B92" s="175">
        <v>9.2147942199999999E-2</v>
      </c>
      <c r="C92" s="175">
        <v>9.2410216870000006E-2</v>
      </c>
      <c r="D92" s="175">
        <v>9.1604571849999997E-2</v>
      </c>
      <c r="E92" s="175">
        <v>8.9236998169999998E-2</v>
      </c>
      <c r="F92" s="175">
        <v>8.8230548950000001E-2</v>
      </c>
      <c r="G92" s="175">
        <v>8.6419539700000006E-2</v>
      </c>
      <c r="H92" s="175">
        <v>8.6340021810000001E-2</v>
      </c>
      <c r="I92" s="175">
        <v>8.5305307699999999E-2</v>
      </c>
      <c r="J92" s="175">
        <v>8.4971874310000001E-2</v>
      </c>
      <c r="K92" s="175">
        <v>0</v>
      </c>
      <c r="L92" s="175">
        <v>0</v>
      </c>
      <c r="M92" s="175">
        <v>0</v>
      </c>
      <c r="N92" s="175">
        <v>0</v>
      </c>
      <c r="O92" s="10"/>
      <c r="P92" s="10"/>
      <c r="Q92" s="10"/>
    </row>
    <row r="93" spans="1:17" ht="13" outlineLevel="4" x14ac:dyDescent="0.3">
      <c r="A93" s="174" t="s">
        <v>144</v>
      </c>
      <c r="B93" s="175">
        <v>5.2655966970000002E-2</v>
      </c>
      <c r="C93" s="175">
        <v>5.2805838209999997E-2</v>
      </c>
      <c r="D93" s="175">
        <v>5.2345469630000002E-2</v>
      </c>
      <c r="E93" s="175">
        <v>5.0992570379999998E-2</v>
      </c>
      <c r="F93" s="175">
        <v>5.0417456540000002E-2</v>
      </c>
      <c r="G93" s="175">
        <v>4.9382594119999998E-2</v>
      </c>
      <c r="H93" s="175">
        <v>4.9337155319999999E-2</v>
      </c>
      <c r="I93" s="175">
        <v>4.8745890110000002E-2</v>
      </c>
      <c r="J93" s="175">
        <v>4.8555356750000001E-2</v>
      </c>
      <c r="K93" s="175">
        <v>4.8583310659999997E-2</v>
      </c>
      <c r="L93" s="175">
        <v>4.8450786109999998E-2</v>
      </c>
      <c r="M93" s="175">
        <v>4.8082008670000002E-2</v>
      </c>
      <c r="N93" s="175">
        <v>4.7574870950000001E-2</v>
      </c>
      <c r="O93" s="10"/>
      <c r="P93" s="10"/>
      <c r="Q93" s="10"/>
    </row>
    <row r="94" spans="1:17" ht="13" outlineLevel="3" x14ac:dyDescent="0.3">
      <c r="A94" s="176" t="s">
        <v>93</v>
      </c>
      <c r="B94" s="175">
        <f t="shared" ref="B94:N94" si="16">SUM(B$95:B$101)</f>
        <v>1.6013404336699999</v>
      </c>
      <c r="C94" s="175">
        <f t="shared" si="16"/>
        <v>1.5782945404200002</v>
      </c>
      <c r="D94" s="175">
        <f t="shared" si="16"/>
        <v>1.5446074654399999</v>
      </c>
      <c r="E94" s="175">
        <f t="shared" si="16"/>
        <v>1.5031415041000002</v>
      </c>
      <c r="F94" s="175">
        <f t="shared" si="16"/>
        <v>1.5177774854999999</v>
      </c>
      <c r="G94" s="175">
        <f t="shared" si="16"/>
        <v>1.5029452921399999</v>
      </c>
      <c r="H94" s="175">
        <f t="shared" si="16"/>
        <v>1.5057052209499999</v>
      </c>
      <c r="I94" s="175">
        <f t="shared" si="16"/>
        <v>1.49956100372</v>
      </c>
      <c r="J94" s="175">
        <f t="shared" si="16"/>
        <v>1.5065582482800002</v>
      </c>
      <c r="K94" s="175">
        <f t="shared" si="16"/>
        <v>1.52376419233</v>
      </c>
      <c r="L94" s="175">
        <f t="shared" si="16"/>
        <v>1.4931545104299999</v>
      </c>
      <c r="M94" s="175">
        <f t="shared" si="16"/>
        <v>1.4928504653700001</v>
      </c>
      <c r="N94" s="175">
        <f t="shared" si="16"/>
        <v>1.5433644391799999</v>
      </c>
      <c r="O94" s="10"/>
      <c r="P94" s="10"/>
      <c r="Q94" s="10"/>
    </row>
    <row r="95" spans="1:17" ht="13" outlineLevel="4" x14ac:dyDescent="0.3">
      <c r="A95" s="174" t="s">
        <v>145</v>
      </c>
      <c r="B95" s="175">
        <v>9.436784896E-2</v>
      </c>
      <c r="C95" s="175">
        <v>9.2191521969999995E-2</v>
      </c>
      <c r="D95" s="175">
        <v>8.9452830900000002E-2</v>
      </c>
      <c r="E95" s="175">
        <v>8.5931267480000004E-2</v>
      </c>
      <c r="F95" s="175">
        <v>8.3139991390000001E-2</v>
      </c>
      <c r="G95" s="175">
        <v>7.9973536819999996E-2</v>
      </c>
      <c r="H95" s="175">
        <v>7.7677093190000004E-2</v>
      </c>
      <c r="I95" s="175">
        <v>7.4932004930000004E-2</v>
      </c>
      <c r="J95" s="175">
        <v>7.2531236449999995E-2</v>
      </c>
      <c r="K95" s="175">
        <v>7.0309710859999999E-2</v>
      </c>
      <c r="L95" s="175">
        <v>6.7963299369999994E-2</v>
      </c>
      <c r="M95" s="175">
        <v>6.544330676E-2</v>
      </c>
      <c r="N95" s="175">
        <v>6.2834343449999996E-2</v>
      </c>
      <c r="O95" s="10"/>
      <c r="P95" s="10"/>
      <c r="Q95" s="10"/>
    </row>
    <row r="96" spans="1:17" ht="13" outlineLevel="4" x14ac:dyDescent="0.3">
      <c r="A96" s="174" t="s">
        <v>146</v>
      </c>
      <c r="B96" s="175">
        <v>1.155555556E-2</v>
      </c>
      <c r="C96" s="175">
        <v>1.119444445E-2</v>
      </c>
      <c r="D96" s="175">
        <v>1.0833333339999999E-2</v>
      </c>
      <c r="E96" s="175">
        <v>1.047222223E-2</v>
      </c>
      <c r="F96" s="175">
        <v>1.011111112E-2</v>
      </c>
      <c r="G96" s="175">
        <v>9.7500000100000008E-3</v>
      </c>
      <c r="H96" s="175">
        <v>9.3888888999999996E-3</v>
      </c>
      <c r="I96" s="175">
        <v>9.0277777900000002E-3</v>
      </c>
      <c r="J96" s="175">
        <v>8.6666666800000007E-3</v>
      </c>
      <c r="K96" s="175">
        <v>8.3055555699999995E-3</v>
      </c>
      <c r="L96" s="175">
        <v>7.9444444600000001E-3</v>
      </c>
      <c r="M96" s="175">
        <v>7.5833333499999997E-3</v>
      </c>
      <c r="N96" s="175">
        <v>7.2222222400000003E-3</v>
      </c>
      <c r="O96" s="10"/>
      <c r="P96" s="10"/>
      <c r="Q96" s="10"/>
    </row>
    <row r="97" spans="1:17" ht="13" outlineLevel="4" x14ac:dyDescent="0.3">
      <c r="A97" s="174" t="s">
        <v>147</v>
      </c>
      <c r="B97" s="175">
        <v>0.29996368222999997</v>
      </c>
      <c r="C97" s="175">
        <v>0.29878887774000001</v>
      </c>
      <c r="D97" s="175">
        <v>0.31963936966000001</v>
      </c>
      <c r="E97" s="175">
        <v>0.32371517514999998</v>
      </c>
      <c r="F97" s="175">
        <v>0.33289860934999999</v>
      </c>
      <c r="G97" s="175">
        <v>0.34126420648</v>
      </c>
      <c r="H97" s="175">
        <v>0.34522244413999997</v>
      </c>
      <c r="I97" s="175">
        <v>0.34879208623000002</v>
      </c>
      <c r="J97" s="175">
        <v>0.35508335686999998</v>
      </c>
      <c r="K97" s="175">
        <v>0.35935420423999997</v>
      </c>
      <c r="L97" s="175">
        <v>0.34065890505000002</v>
      </c>
      <c r="M97" s="175">
        <v>0.33865906296999998</v>
      </c>
      <c r="N97" s="175">
        <v>0.35657922199999997</v>
      </c>
      <c r="O97" s="10"/>
      <c r="P97" s="10"/>
      <c r="Q97" s="10"/>
    </row>
    <row r="98" spans="1:17" ht="13" outlineLevel="4" x14ac:dyDescent="0.3">
      <c r="A98" s="174" t="s">
        <v>148</v>
      </c>
      <c r="B98" s="175">
        <v>0.34677464744999997</v>
      </c>
      <c r="C98" s="175">
        <v>0.34260627093000001</v>
      </c>
      <c r="D98" s="175">
        <v>0.33605784024000002</v>
      </c>
      <c r="E98" s="175">
        <v>0.32605852239999999</v>
      </c>
      <c r="F98" s="175">
        <v>0.31910300737000002</v>
      </c>
      <c r="G98" s="175">
        <v>0.31039128460999998</v>
      </c>
      <c r="H98" s="175">
        <v>0.30550671253</v>
      </c>
      <c r="I98" s="175">
        <v>0.29853466987999999</v>
      </c>
      <c r="J98" s="175">
        <v>0.29310655903999999</v>
      </c>
      <c r="K98" s="175">
        <v>0.28851377422000002</v>
      </c>
      <c r="L98" s="175">
        <v>0.28331259321000002</v>
      </c>
      <c r="M98" s="175">
        <v>0.27722356073999999</v>
      </c>
      <c r="N98" s="175">
        <v>0.31541573540000001</v>
      </c>
      <c r="O98" s="10"/>
      <c r="P98" s="10"/>
      <c r="Q98" s="10"/>
    </row>
    <row r="99" spans="1:17" ht="13" outlineLevel="4" x14ac:dyDescent="0.3">
      <c r="A99" s="174" t="s">
        <v>149</v>
      </c>
      <c r="B99" s="175">
        <v>8.8888888799999993E-3</v>
      </c>
      <c r="C99" s="175">
        <v>8.6111111000000008E-3</v>
      </c>
      <c r="D99" s="175">
        <v>8.3333333200000005E-3</v>
      </c>
      <c r="E99" s="175">
        <v>8.0555555400000003E-3</v>
      </c>
      <c r="F99" s="175">
        <v>7.77777776E-3</v>
      </c>
      <c r="G99" s="175">
        <v>7.4999999799999998E-3</v>
      </c>
      <c r="H99" s="175">
        <v>7.2222222000000004E-3</v>
      </c>
      <c r="I99" s="175">
        <v>6.9444444200000002E-3</v>
      </c>
      <c r="J99" s="175">
        <v>6.66666664E-3</v>
      </c>
      <c r="K99" s="175">
        <v>6.3888888599999997E-3</v>
      </c>
      <c r="L99" s="175">
        <v>6.1111110800000003E-3</v>
      </c>
      <c r="M99" s="175">
        <v>5.8333333000000001E-3</v>
      </c>
      <c r="N99" s="175">
        <v>5.5555555199999999E-3</v>
      </c>
      <c r="O99" s="10"/>
      <c r="P99" s="10"/>
      <c r="Q99" s="10"/>
    </row>
    <row r="100" spans="1:17" ht="13" outlineLevel="4" x14ac:dyDescent="0.3">
      <c r="A100" s="174" t="s">
        <v>150</v>
      </c>
      <c r="B100" s="175">
        <v>1.2444444440000001E-2</v>
      </c>
      <c r="C100" s="175">
        <v>1.2055555549999999E-2</v>
      </c>
      <c r="D100" s="175">
        <v>1.166666666E-2</v>
      </c>
      <c r="E100" s="175">
        <v>1.1277777770000001E-2</v>
      </c>
      <c r="F100" s="175">
        <v>1.0888888879999999E-2</v>
      </c>
      <c r="G100" s="175">
        <v>1.049999999E-2</v>
      </c>
      <c r="H100" s="175">
        <v>1.01111111E-2</v>
      </c>
      <c r="I100" s="175">
        <v>9.7222222099999991E-3</v>
      </c>
      <c r="J100" s="175">
        <v>9.3333333199999997E-3</v>
      </c>
      <c r="K100" s="175">
        <v>8.9444444300000002E-3</v>
      </c>
      <c r="L100" s="175">
        <v>8.5555555400000007E-3</v>
      </c>
      <c r="M100" s="175">
        <v>8.1666666499999995E-3</v>
      </c>
      <c r="N100" s="175">
        <v>7.77777776E-3</v>
      </c>
      <c r="O100" s="10"/>
      <c r="P100" s="10"/>
      <c r="Q100" s="10"/>
    </row>
    <row r="101" spans="1:17" ht="13" outlineLevel="4" x14ac:dyDescent="0.3">
      <c r="A101" s="174" t="s">
        <v>153</v>
      </c>
      <c r="B101" s="175">
        <v>0.82734536614999998</v>
      </c>
      <c r="C101" s="175">
        <v>0.81284675868</v>
      </c>
      <c r="D101" s="175">
        <v>0.76862409131999998</v>
      </c>
      <c r="E101" s="175">
        <v>0.73763098353000001</v>
      </c>
      <c r="F101" s="175">
        <v>0.75385809962999994</v>
      </c>
      <c r="G101" s="175">
        <v>0.74356626425000005</v>
      </c>
      <c r="H101" s="175">
        <v>0.75057674889000003</v>
      </c>
      <c r="I101" s="175">
        <v>0.75160779826000002</v>
      </c>
      <c r="J101" s="175">
        <v>0.76117042928</v>
      </c>
      <c r="K101" s="175">
        <v>0.78194761415000003</v>
      </c>
      <c r="L101" s="175">
        <v>0.77860860172000002</v>
      </c>
      <c r="M101" s="175">
        <v>0.78994120160000003</v>
      </c>
      <c r="N101" s="175">
        <v>0.78797958281000002</v>
      </c>
      <c r="O101" s="10"/>
      <c r="P101" s="10"/>
      <c r="Q101" s="10"/>
    </row>
    <row r="102" spans="1:17" ht="13" outlineLevel="3" x14ac:dyDescent="0.3">
      <c r="A102" s="176" t="s">
        <v>154</v>
      </c>
      <c r="B102" s="175">
        <f t="shared" ref="B102:N102" si="17">SUM(B$103:B$103)</f>
        <v>2.5134010000000001E-5</v>
      </c>
      <c r="C102" s="175">
        <f t="shared" si="17"/>
        <v>2.5205550000000001E-5</v>
      </c>
      <c r="D102" s="175">
        <f t="shared" si="17"/>
        <v>2.4985800000000001E-5</v>
      </c>
      <c r="E102" s="175">
        <f t="shared" si="17"/>
        <v>2.4340029999999999E-5</v>
      </c>
      <c r="F102" s="175">
        <f t="shared" si="17"/>
        <v>2.4065509999999999E-5</v>
      </c>
      <c r="G102" s="175">
        <f t="shared" si="17"/>
        <v>2.357155E-5</v>
      </c>
      <c r="H102" s="175">
        <f t="shared" si="17"/>
        <v>2.354986E-5</v>
      </c>
      <c r="I102" s="175">
        <f t="shared" si="17"/>
        <v>2.3267629999999999E-5</v>
      </c>
      <c r="J102" s="175">
        <f t="shared" si="17"/>
        <v>2.3176690000000001E-5</v>
      </c>
      <c r="K102" s="175">
        <f t="shared" si="17"/>
        <v>2.3190029999999999E-5</v>
      </c>
      <c r="L102" s="175">
        <f t="shared" si="17"/>
        <v>2.3126770000000002E-5</v>
      </c>
      <c r="M102" s="175">
        <f t="shared" si="17"/>
        <v>2.295074E-5</v>
      </c>
      <c r="N102" s="175">
        <f t="shared" si="17"/>
        <v>2.270868E-5</v>
      </c>
      <c r="O102" s="10"/>
      <c r="P102" s="10"/>
      <c r="Q102" s="10"/>
    </row>
    <row r="103" spans="1:17" ht="13" outlineLevel="4" x14ac:dyDescent="0.3">
      <c r="A103" s="174" t="s">
        <v>155</v>
      </c>
      <c r="B103" s="175">
        <v>2.5134010000000001E-5</v>
      </c>
      <c r="C103" s="175">
        <v>2.5205550000000001E-5</v>
      </c>
      <c r="D103" s="175">
        <v>2.4985800000000001E-5</v>
      </c>
      <c r="E103" s="175">
        <v>2.4340029999999999E-5</v>
      </c>
      <c r="F103" s="175">
        <v>2.4065509999999999E-5</v>
      </c>
      <c r="G103" s="175">
        <v>2.357155E-5</v>
      </c>
      <c r="H103" s="175">
        <v>2.354986E-5</v>
      </c>
      <c r="I103" s="175">
        <v>2.3267629999999999E-5</v>
      </c>
      <c r="J103" s="175">
        <v>2.3176690000000001E-5</v>
      </c>
      <c r="K103" s="175">
        <v>2.3190029999999999E-5</v>
      </c>
      <c r="L103" s="175">
        <v>2.3126770000000002E-5</v>
      </c>
      <c r="M103" s="175">
        <v>2.295074E-5</v>
      </c>
      <c r="N103" s="175">
        <v>2.270868E-5</v>
      </c>
      <c r="O103" s="10"/>
      <c r="P103" s="10"/>
      <c r="Q103" s="10"/>
    </row>
    <row r="104" spans="1:17" ht="14.5" outlineLevel="2" x14ac:dyDescent="0.35">
      <c r="A104" s="177" t="s">
        <v>95</v>
      </c>
      <c r="B104" s="178">
        <f t="shared" ref="B104:N104" si="18">B$105+B$112+B$115+B$117+B$120</f>
        <v>6.9175722951700003</v>
      </c>
      <c r="C104" s="178">
        <f t="shared" si="18"/>
        <v>7.0218152673599992</v>
      </c>
      <c r="D104" s="178">
        <f t="shared" si="18"/>
        <v>6.6956954384199987</v>
      </c>
      <c r="E104" s="178">
        <f t="shared" si="18"/>
        <v>6.2439877595899995</v>
      </c>
      <c r="F104" s="178">
        <f t="shared" si="18"/>
        <v>6.1254134813800007</v>
      </c>
      <c r="G104" s="178">
        <f t="shared" si="18"/>
        <v>6.1429362961399994</v>
      </c>
      <c r="H104" s="178">
        <f t="shared" si="18"/>
        <v>6.1399233301900011</v>
      </c>
      <c r="I104" s="178">
        <f t="shared" si="18"/>
        <v>6.2010501098200006</v>
      </c>
      <c r="J104" s="178">
        <f t="shared" si="18"/>
        <v>5.4121602683699992</v>
      </c>
      <c r="K104" s="178">
        <f t="shared" si="18"/>
        <v>5.3421646932699991</v>
      </c>
      <c r="L104" s="178">
        <f t="shared" si="18"/>
        <v>5.1604653517100001</v>
      </c>
      <c r="M104" s="178">
        <f t="shared" si="18"/>
        <v>5.1153491469200008</v>
      </c>
      <c r="N104" s="178">
        <f t="shared" si="18"/>
        <v>5.2131031995800008</v>
      </c>
      <c r="O104" s="10"/>
      <c r="P104" s="10"/>
      <c r="Q104" s="10"/>
    </row>
    <row r="105" spans="1:17" ht="13" outlineLevel="3" x14ac:dyDescent="0.3">
      <c r="A105" s="176" t="s">
        <v>96</v>
      </c>
      <c r="B105" s="175">
        <f t="shared" ref="B105:N105" si="19">SUM(B$106:B$111)</f>
        <v>4.23165891857</v>
      </c>
      <c r="C105" s="175">
        <f t="shared" si="19"/>
        <v>4.3375701761599998</v>
      </c>
      <c r="D105" s="175">
        <f t="shared" si="19"/>
        <v>4.012290523559999</v>
      </c>
      <c r="E105" s="175">
        <f t="shared" si="19"/>
        <v>3.5596238582600002</v>
      </c>
      <c r="F105" s="175">
        <f t="shared" si="19"/>
        <v>3.44180290189</v>
      </c>
      <c r="G105" s="175">
        <f t="shared" si="19"/>
        <v>3.4622058558000002</v>
      </c>
      <c r="H105" s="175">
        <f t="shared" si="19"/>
        <v>3.4596722448900006</v>
      </c>
      <c r="I105" s="175">
        <f t="shared" si="19"/>
        <v>3.51932297378</v>
      </c>
      <c r="J105" s="175">
        <f t="shared" si="19"/>
        <v>3.4317851565400002</v>
      </c>
      <c r="K105" s="175">
        <f t="shared" si="19"/>
        <v>3.3607839250999998</v>
      </c>
      <c r="L105" s="175">
        <f t="shared" si="19"/>
        <v>3.1821876177599999</v>
      </c>
      <c r="M105" s="175">
        <f t="shared" si="19"/>
        <v>3.14278533901</v>
      </c>
      <c r="N105" s="175">
        <f t="shared" si="19"/>
        <v>3.2418873771000003</v>
      </c>
      <c r="O105" s="10"/>
      <c r="P105" s="10"/>
      <c r="Q105" s="10"/>
    </row>
    <row r="106" spans="1:17" ht="13" outlineLevel="4" x14ac:dyDescent="0.3">
      <c r="A106" s="174" t="s">
        <v>156</v>
      </c>
      <c r="B106" s="175">
        <v>0.33337466827000001</v>
      </c>
      <c r="C106" s="175">
        <v>0.32542521900999999</v>
      </c>
      <c r="D106" s="175">
        <v>0.32425505853999997</v>
      </c>
      <c r="E106" s="175">
        <v>0.32406033440999998</v>
      </c>
      <c r="F106" s="175">
        <v>0.32139011011000002</v>
      </c>
      <c r="G106" s="175">
        <v>0.3245703097</v>
      </c>
      <c r="H106" s="175">
        <v>0.32084963514999998</v>
      </c>
      <c r="I106" s="175">
        <v>0.32477997324000002</v>
      </c>
      <c r="J106" s="175">
        <v>0.33287974537999998</v>
      </c>
      <c r="K106" s="175">
        <v>0.33489034747000002</v>
      </c>
      <c r="L106" s="175">
        <v>0.32439012572999998</v>
      </c>
      <c r="M106" s="175">
        <v>0.31635028705000001</v>
      </c>
      <c r="N106" s="175">
        <v>0.31347034895999998</v>
      </c>
      <c r="O106" s="10"/>
      <c r="P106" s="10"/>
      <c r="Q106" s="10"/>
    </row>
    <row r="107" spans="1:17" ht="13" outlineLevel="4" x14ac:dyDescent="0.3">
      <c r="A107" s="174" t="s">
        <v>99</v>
      </c>
      <c r="B107" s="175">
        <v>1.11848112001</v>
      </c>
      <c r="C107" s="175">
        <v>1.2550535109700001</v>
      </c>
      <c r="D107" s="175">
        <v>1.06577414746</v>
      </c>
      <c r="E107" s="175">
        <v>0.88006607888999999</v>
      </c>
      <c r="F107" s="175">
        <v>0.86506788454000005</v>
      </c>
      <c r="G107" s="175">
        <v>0.87744088989000002</v>
      </c>
      <c r="H107" s="175">
        <v>0.88568163403</v>
      </c>
      <c r="I107" s="175">
        <v>0.92546855575999998</v>
      </c>
      <c r="J107" s="175">
        <v>0.93740859485000005</v>
      </c>
      <c r="K107" s="175">
        <v>1.1204470335800001</v>
      </c>
      <c r="L107" s="175">
        <v>1.07136584979</v>
      </c>
      <c r="M107" s="175">
        <v>1.05860444105</v>
      </c>
      <c r="N107" s="175">
        <v>1.0781519687600001</v>
      </c>
      <c r="O107" s="10"/>
      <c r="P107" s="10"/>
      <c r="Q107" s="10"/>
    </row>
    <row r="108" spans="1:17" ht="13" outlineLevel="4" x14ac:dyDescent="0.3">
      <c r="A108" s="174" t="s">
        <v>100</v>
      </c>
      <c r="B108" s="175">
        <v>0.11186386994</v>
      </c>
      <c r="C108" s="175">
        <v>0.10786761258999999</v>
      </c>
      <c r="D108" s="175">
        <v>0.10747974340999999</v>
      </c>
      <c r="E108" s="175">
        <v>0.10741519884</v>
      </c>
      <c r="F108" s="175">
        <v>0.1065301085</v>
      </c>
      <c r="G108" s="175">
        <v>0.10758423866</v>
      </c>
      <c r="H108" s="175">
        <v>0.10635095906</v>
      </c>
      <c r="I108" s="175">
        <v>0.10616330843000001</v>
      </c>
      <c r="J108" s="175">
        <v>0.10881094276</v>
      </c>
      <c r="K108" s="175">
        <v>0.10946816361</v>
      </c>
      <c r="L108" s="175">
        <v>0.106035876</v>
      </c>
      <c r="M108" s="175">
        <v>0.10340783257</v>
      </c>
      <c r="N108" s="175">
        <v>0.19232794526999999</v>
      </c>
      <c r="O108" s="10"/>
      <c r="P108" s="10"/>
      <c r="Q108" s="10"/>
    </row>
    <row r="109" spans="1:17" ht="13" outlineLevel="4" x14ac:dyDescent="0.3">
      <c r="A109" s="174" t="s">
        <v>103</v>
      </c>
      <c r="B109" s="175">
        <v>0.53712731924000001</v>
      </c>
      <c r="C109" s="175">
        <v>0.53712731924000001</v>
      </c>
      <c r="D109" s="175">
        <v>0.53714231924</v>
      </c>
      <c r="E109" s="175">
        <v>0.53466577961999995</v>
      </c>
      <c r="F109" s="175">
        <v>0.52393577964000004</v>
      </c>
      <c r="G109" s="175">
        <v>0.52081577963000003</v>
      </c>
      <c r="H109" s="175">
        <v>0.52509737963000003</v>
      </c>
      <c r="I109" s="175">
        <v>0.52509737963000003</v>
      </c>
      <c r="J109" s="175">
        <v>0.52510377962999999</v>
      </c>
      <c r="K109" s="175">
        <v>0.52262724001000005</v>
      </c>
      <c r="L109" s="175">
        <v>0.51172224003</v>
      </c>
      <c r="M109" s="175">
        <v>0.50860224001999998</v>
      </c>
      <c r="N109" s="175">
        <v>0.51326692550999997</v>
      </c>
      <c r="O109" s="10"/>
      <c r="P109" s="10"/>
      <c r="Q109" s="10"/>
    </row>
    <row r="110" spans="1:17" ht="13" outlineLevel="4" x14ac:dyDescent="0.3">
      <c r="A110" s="174" t="s">
        <v>104</v>
      </c>
      <c r="B110" s="175">
        <v>2.13065401311</v>
      </c>
      <c r="C110" s="175">
        <v>2.11193858635</v>
      </c>
      <c r="D110" s="175">
        <v>1.97747832691</v>
      </c>
      <c r="E110" s="175">
        <v>1.7132555384999999</v>
      </c>
      <c r="F110" s="175">
        <v>1.6247180911000001</v>
      </c>
      <c r="G110" s="175">
        <v>1.63163370992</v>
      </c>
      <c r="H110" s="175">
        <v>1.6215317090200001</v>
      </c>
      <c r="I110" s="175">
        <v>1.6376528287200001</v>
      </c>
      <c r="J110" s="175">
        <v>1.52741756592</v>
      </c>
      <c r="K110" s="175">
        <v>1.27318661243</v>
      </c>
      <c r="L110" s="175">
        <v>1.1685089982100001</v>
      </c>
      <c r="M110" s="175">
        <v>1.15565601032</v>
      </c>
      <c r="N110" s="175">
        <v>1.1443781555999999</v>
      </c>
      <c r="O110" s="10"/>
      <c r="P110" s="10"/>
      <c r="Q110" s="10"/>
    </row>
    <row r="111" spans="1:17" ht="13" outlineLevel="4" x14ac:dyDescent="0.3">
      <c r="A111" s="174" t="s">
        <v>105</v>
      </c>
      <c r="B111" s="175">
        <v>1.57928E-4</v>
      </c>
      <c r="C111" s="175">
        <v>1.57928E-4</v>
      </c>
      <c r="D111" s="175">
        <v>1.6092799999999999E-4</v>
      </c>
      <c r="E111" s="175">
        <v>1.6092799999999999E-4</v>
      </c>
      <c r="F111" s="175">
        <v>1.6092799999999999E-4</v>
      </c>
      <c r="G111" s="175">
        <v>1.6092799999999999E-4</v>
      </c>
      <c r="H111" s="175">
        <v>1.6092799999999999E-4</v>
      </c>
      <c r="I111" s="175">
        <v>1.6092799999999999E-4</v>
      </c>
      <c r="J111" s="175">
        <v>1.6452799999999999E-4</v>
      </c>
      <c r="K111" s="175">
        <v>1.6452799999999999E-4</v>
      </c>
      <c r="L111" s="175">
        <v>1.6452799999999999E-4</v>
      </c>
      <c r="M111" s="175">
        <v>1.6452799999999999E-4</v>
      </c>
      <c r="N111" s="175">
        <v>2.9203299999999997E-4</v>
      </c>
      <c r="O111" s="10"/>
      <c r="P111" s="10"/>
      <c r="Q111" s="10"/>
    </row>
    <row r="112" spans="1:17" ht="13" outlineLevel="3" x14ac:dyDescent="0.3">
      <c r="A112" s="176" t="s">
        <v>157</v>
      </c>
      <c r="B112" s="175">
        <f t="shared" ref="B112:N112" si="20">SUM(B$113:B$114)</f>
        <v>0.85471092828999995</v>
      </c>
      <c r="C112" s="175">
        <f t="shared" si="20"/>
        <v>0.85400245958999998</v>
      </c>
      <c r="D112" s="175">
        <f t="shared" si="20"/>
        <v>0.85703122056999992</v>
      </c>
      <c r="E112" s="175">
        <f t="shared" si="20"/>
        <v>0.8582765243099999</v>
      </c>
      <c r="F112" s="175">
        <f t="shared" si="20"/>
        <v>0.85802161252999998</v>
      </c>
      <c r="G112" s="175">
        <f t="shared" si="20"/>
        <v>0.85836459446999991</v>
      </c>
      <c r="H112" s="175">
        <f t="shared" si="20"/>
        <v>0.85855262599999993</v>
      </c>
      <c r="I112" s="175">
        <f t="shared" si="20"/>
        <v>0.85896363836</v>
      </c>
      <c r="J112" s="175">
        <f t="shared" si="20"/>
        <v>0.85981066635999992</v>
      </c>
      <c r="K112" s="175">
        <f t="shared" si="20"/>
        <v>0.86002092365999994</v>
      </c>
      <c r="L112" s="175">
        <f t="shared" si="20"/>
        <v>0.85893260202999999</v>
      </c>
      <c r="M112" s="175">
        <f t="shared" si="20"/>
        <v>0.85809160032999998</v>
      </c>
      <c r="N112" s="175">
        <f t="shared" si="20"/>
        <v>0.85779034641999996</v>
      </c>
      <c r="O112" s="10"/>
      <c r="P112" s="10"/>
      <c r="Q112" s="10"/>
    </row>
    <row r="113" spans="1:17" ht="13" outlineLevel="4" x14ac:dyDescent="0.3">
      <c r="A113" s="174" t="s">
        <v>158</v>
      </c>
      <c r="B113" s="175">
        <v>0.82499999999999996</v>
      </c>
      <c r="C113" s="175">
        <v>0.82499999999999996</v>
      </c>
      <c r="D113" s="175">
        <v>0.82499999999999996</v>
      </c>
      <c r="E113" s="175">
        <v>0.82499999999999996</v>
      </c>
      <c r="F113" s="175">
        <v>0.82499999999999996</v>
      </c>
      <c r="G113" s="175">
        <v>0.82499999999999996</v>
      </c>
      <c r="H113" s="175">
        <v>0.82499999999999996</v>
      </c>
      <c r="I113" s="175">
        <v>0.82499999999999996</v>
      </c>
      <c r="J113" s="175">
        <v>0.82499999999999996</v>
      </c>
      <c r="K113" s="175">
        <v>0.82499999999999996</v>
      </c>
      <c r="L113" s="175">
        <v>0.82499999999999996</v>
      </c>
      <c r="M113" s="175">
        <v>0.82499999999999996</v>
      </c>
      <c r="N113" s="175">
        <v>0.82499999999999996</v>
      </c>
      <c r="O113" s="10"/>
      <c r="P113" s="10"/>
      <c r="Q113" s="10"/>
    </row>
    <row r="114" spans="1:17" ht="13" outlineLevel="4" x14ac:dyDescent="0.3">
      <c r="A114" s="174" t="s">
        <v>111</v>
      </c>
      <c r="B114" s="175">
        <v>2.9710928290000001E-2</v>
      </c>
      <c r="C114" s="175">
        <v>2.9002459590000002E-2</v>
      </c>
      <c r="D114" s="175">
        <v>3.2031220569999998E-2</v>
      </c>
      <c r="E114" s="175">
        <v>3.327652431E-2</v>
      </c>
      <c r="F114" s="175">
        <v>3.3021612530000001E-2</v>
      </c>
      <c r="G114" s="175">
        <v>3.3364594470000002E-2</v>
      </c>
      <c r="H114" s="175">
        <v>3.3552626000000002E-2</v>
      </c>
      <c r="I114" s="175">
        <v>3.3963638359999999E-2</v>
      </c>
      <c r="J114" s="175">
        <v>3.4810666359999999E-2</v>
      </c>
      <c r="K114" s="175">
        <v>3.5020923660000002E-2</v>
      </c>
      <c r="L114" s="175">
        <v>3.3932602030000002E-2</v>
      </c>
      <c r="M114" s="175">
        <v>3.3091600329999998E-2</v>
      </c>
      <c r="N114" s="175">
        <v>3.2790346419999998E-2</v>
      </c>
      <c r="O114" s="10"/>
      <c r="P114" s="10"/>
      <c r="Q114" s="10"/>
    </row>
    <row r="115" spans="1:17" ht="13" outlineLevel="3" x14ac:dyDescent="0.3">
      <c r="A115" s="176" t="s">
        <v>119</v>
      </c>
      <c r="B115" s="175">
        <f t="shared" ref="B115:N115" si="21">SUM(B$116:B$116)</f>
        <v>0.19693230805</v>
      </c>
      <c r="C115" s="175">
        <f t="shared" si="21"/>
        <v>0.19693230805</v>
      </c>
      <c r="D115" s="175">
        <f t="shared" si="21"/>
        <v>0.19325230804999999</v>
      </c>
      <c r="E115" s="175">
        <f t="shared" si="21"/>
        <v>0.19325230804999999</v>
      </c>
      <c r="F115" s="175">
        <f t="shared" si="21"/>
        <v>0.19325230804999999</v>
      </c>
      <c r="G115" s="175">
        <f t="shared" si="21"/>
        <v>0.18957230805</v>
      </c>
      <c r="H115" s="175">
        <f t="shared" si="21"/>
        <v>0.18957230805</v>
      </c>
      <c r="I115" s="175">
        <f t="shared" si="21"/>
        <v>0.18957230805</v>
      </c>
      <c r="J115" s="175">
        <f t="shared" si="21"/>
        <v>0.18589230805000001</v>
      </c>
      <c r="K115" s="175">
        <f t="shared" si="21"/>
        <v>0.18589230805000001</v>
      </c>
      <c r="L115" s="175">
        <f t="shared" si="21"/>
        <v>0.18589230805000001</v>
      </c>
      <c r="M115" s="175">
        <f t="shared" si="21"/>
        <v>0.18221230804999999</v>
      </c>
      <c r="N115" s="175">
        <f t="shared" si="21"/>
        <v>0.18221230804999999</v>
      </c>
      <c r="O115" s="10"/>
      <c r="P115" s="10"/>
      <c r="Q115" s="10"/>
    </row>
    <row r="116" spans="1:17" ht="13" outlineLevel="4" x14ac:dyDescent="0.3">
      <c r="A116" s="174" t="s">
        <v>159</v>
      </c>
      <c r="B116" s="175">
        <v>0.19693230805</v>
      </c>
      <c r="C116" s="175">
        <v>0.19693230805</v>
      </c>
      <c r="D116" s="175">
        <v>0.19325230804999999</v>
      </c>
      <c r="E116" s="175">
        <v>0.19325230804999999</v>
      </c>
      <c r="F116" s="175">
        <v>0.19325230804999999</v>
      </c>
      <c r="G116" s="175">
        <v>0.18957230805</v>
      </c>
      <c r="H116" s="175">
        <v>0.18957230805</v>
      </c>
      <c r="I116" s="175">
        <v>0.18957230805</v>
      </c>
      <c r="J116" s="175">
        <v>0.18589230805000001</v>
      </c>
      <c r="K116" s="175">
        <v>0.18589230805000001</v>
      </c>
      <c r="L116" s="175">
        <v>0.18589230805000001</v>
      </c>
      <c r="M116" s="175">
        <v>0.18221230804999999</v>
      </c>
      <c r="N116" s="175">
        <v>0.18221230804999999</v>
      </c>
      <c r="O116" s="10"/>
      <c r="P116" s="10"/>
      <c r="Q116" s="10"/>
    </row>
    <row r="117" spans="1:17" ht="13" outlineLevel="3" x14ac:dyDescent="0.3">
      <c r="A117" s="176" t="s">
        <v>163</v>
      </c>
      <c r="B117" s="175">
        <f t="shared" ref="B117:N117" si="22">SUM(B$118:B$119)</f>
        <v>1.5249999999999999</v>
      </c>
      <c r="C117" s="175">
        <f t="shared" si="22"/>
        <v>1.5249999999999999</v>
      </c>
      <c r="D117" s="175">
        <f t="shared" si="22"/>
        <v>1.5249999999999999</v>
      </c>
      <c r="E117" s="175">
        <f t="shared" si="22"/>
        <v>1.5249999999999999</v>
      </c>
      <c r="F117" s="175">
        <f t="shared" si="22"/>
        <v>1.5249999999999999</v>
      </c>
      <c r="G117" s="175">
        <f t="shared" si="22"/>
        <v>1.5249999999999999</v>
      </c>
      <c r="H117" s="175">
        <f t="shared" si="22"/>
        <v>1.5249999999999999</v>
      </c>
      <c r="I117" s="175">
        <f t="shared" si="22"/>
        <v>1.5249999999999999</v>
      </c>
      <c r="J117" s="175">
        <f t="shared" si="22"/>
        <v>0.82499999999999996</v>
      </c>
      <c r="K117" s="175">
        <f t="shared" si="22"/>
        <v>0.82499999999999996</v>
      </c>
      <c r="L117" s="175">
        <f t="shared" si="22"/>
        <v>0.82499999999999996</v>
      </c>
      <c r="M117" s="175">
        <f t="shared" si="22"/>
        <v>0.82499999999999996</v>
      </c>
      <c r="N117" s="175">
        <f t="shared" si="22"/>
        <v>0.82499999999999996</v>
      </c>
      <c r="O117" s="10"/>
      <c r="P117" s="10"/>
      <c r="Q117" s="10"/>
    </row>
    <row r="118" spans="1:17" ht="13" outlineLevel="4" x14ac:dyDescent="0.3">
      <c r="A118" s="174" t="s">
        <v>164</v>
      </c>
      <c r="B118" s="175">
        <v>0.7</v>
      </c>
      <c r="C118" s="175">
        <v>0.7</v>
      </c>
      <c r="D118" s="175">
        <v>0.7</v>
      </c>
      <c r="E118" s="175">
        <v>0.7</v>
      </c>
      <c r="F118" s="175">
        <v>0.7</v>
      </c>
      <c r="G118" s="175">
        <v>0.7</v>
      </c>
      <c r="H118" s="175">
        <v>0.7</v>
      </c>
      <c r="I118" s="175">
        <v>0.7</v>
      </c>
      <c r="J118" s="175">
        <v>0</v>
      </c>
      <c r="K118" s="175">
        <v>0</v>
      </c>
      <c r="L118" s="175">
        <v>0</v>
      </c>
      <c r="M118" s="175">
        <v>0</v>
      </c>
      <c r="N118" s="175">
        <v>0</v>
      </c>
      <c r="O118" s="10"/>
      <c r="P118" s="10"/>
      <c r="Q118" s="10"/>
    </row>
    <row r="119" spans="1:17" ht="13" outlineLevel="4" x14ac:dyDescent="0.3">
      <c r="A119" s="174" t="s">
        <v>165</v>
      </c>
      <c r="B119" s="175">
        <v>0.82499999999999996</v>
      </c>
      <c r="C119" s="175">
        <v>0.82499999999999996</v>
      </c>
      <c r="D119" s="175">
        <v>0.82499999999999996</v>
      </c>
      <c r="E119" s="175">
        <v>0.82499999999999996</v>
      </c>
      <c r="F119" s="175">
        <v>0.82499999999999996</v>
      </c>
      <c r="G119" s="175">
        <v>0.82499999999999996</v>
      </c>
      <c r="H119" s="175">
        <v>0.82499999999999996</v>
      </c>
      <c r="I119" s="175">
        <v>0.82499999999999996</v>
      </c>
      <c r="J119" s="175">
        <v>0.82499999999999996</v>
      </c>
      <c r="K119" s="175">
        <v>0.82499999999999996</v>
      </c>
      <c r="L119" s="175">
        <v>0.82499999999999996</v>
      </c>
      <c r="M119" s="175">
        <v>0.82499999999999996</v>
      </c>
      <c r="N119" s="175">
        <v>0.82499999999999996</v>
      </c>
      <c r="O119" s="10"/>
      <c r="P119" s="10"/>
      <c r="Q119" s="10"/>
    </row>
    <row r="120" spans="1:17" ht="13" outlineLevel="3" x14ac:dyDescent="0.3">
      <c r="A120" s="176" t="s">
        <v>137</v>
      </c>
      <c r="B120" s="175">
        <f t="shared" ref="B120:N120" si="23">SUM(B$121:B$121)</f>
        <v>0.10927014026</v>
      </c>
      <c r="C120" s="175">
        <f t="shared" si="23"/>
        <v>0.10831032356</v>
      </c>
      <c r="D120" s="175">
        <f t="shared" si="23"/>
        <v>0.10812138624000001</v>
      </c>
      <c r="E120" s="175">
        <f t="shared" si="23"/>
        <v>0.10783506897</v>
      </c>
      <c r="F120" s="175">
        <f t="shared" si="23"/>
        <v>0.10733665890999999</v>
      </c>
      <c r="G120" s="175">
        <f t="shared" si="23"/>
        <v>0.10779353781999999</v>
      </c>
      <c r="H120" s="175">
        <f t="shared" si="23"/>
        <v>0.10712615125</v>
      </c>
      <c r="I120" s="175">
        <f t="shared" si="23"/>
        <v>0.10819118963</v>
      </c>
      <c r="J120" s="175">
        <f t="shared" si="23"/>
        <v>0.10967213742</v>
      </c>
      <c r="K120" s="175">
        <f t="shared" si="23"/>
        <v>0.11046753646</v>
      </c>
      <c r="L120" s="175">
        <f t="shared" si="23"/>
        <v>0.10845282387000001</v>
      </c>
      <c r="M120" s="175">
        <f t="shared" si="23"/>
        <v>0.10725989952999999</v>
      </c>
      <c r="N120" s="175">
        <f t="shared" si="23"/>
        <v>0.10621316801</v>
      </c>
      <c r="O120" s="10"/>
      <c r="P120" s="10"/>
      <c r="Q120" s="10"/>
    </row>
    <row r="121" spans="1:17" ht="13" outlineLevel="4" x14ac:dyDescent="0.3">
      <c r="A121" s="174" t="s">
        <v>104</v>
      </c>
      <c r="B121" s="175">
        <v>0.10927014026</v>
      </c>
      <c r="C121" s="175">
        <v>0.10831032356</v>
      </c>
      <c r="D121" s="175">
        <v>0.10812138624000001</v>
      </c>
      <c r="E121" s="175">
        <v>0.10783506897</v>
      </c>
      <c r="F121" s="175">
        <v>0.10733665890999999</v>
      </c>
      <c r="G121" s="175">
        <v>0.10779353781999999</v>
      </c>
      <c r="H121" s="175">
        <v>0.10712615125</v>
      </c>
      <c r="I121" s="175">
        <v>0.10819118963</v>
      </c>
      <c r="J121" s="175">
        <v>0.10967213742</v>
      </c>
      <c r="K121" s="175">
        <v>0.11046753646</v>
      </c>
      <c r="L121" s="175">
        <v>0.10845282387000001</v>
      </c>
      <c r="M121" s="175">
        <v>0.10725989952999999</v>
      </c>
      <c r="N121" s="175">
        <v>0.10621316801</v>
      </c>
      <c r="O121" s="10"/>
      <c r="P121" s="10"/>
      <c r="Q121" s="10"/>
    </row>
    <row r="122" spans="1:17" x14ac:dyDescent="0.25">
      <c r="B122" s="9"/>
      <c r="C122" s="9"/>
      <c r="D122" s="9"/>
      <c r="E122" s="9"/>
      <c r="F122" s="9"/>
      <c r="G122" s="9"/>
      <c r="H122" s="9"/>
      <c r="I122" s="9"/>
      <c r="J122" s="9"/>
      <c r="K122" s="9"/>
      <c r="L122" s="9"/>
      <c r="M122" s="9"/>
      <c r="N122" s="9"/>
      <c r="O122" s="10"/>
      <c r="P122" s="10"/>
      <c r="Q122" s="10"/>
    </row>
    <row r="123" spans="1:17" x14ac:dyDescent="0.25">
      <c r="B123" s="9"/>
      <c r="C123" s="9"/>
      <c r="D123" s="9"/>
      <c r="E123" s="9"/>
      <c r="F123" s="9"/>
      <c r="G123" s="9"/>
      <c r="H123" s="9"/>
      <c r="I123" s="9"/>
      <c r="J123" s="9"/>
      <c r="K123" s="9"/>
      <c r="L123" s="9"/>
      <c r="M123" s="9"/>
      <c r="N123" s="9"/>
      <c r="O123" s="10"/>
      <c r="P123" s="10"/>
      <c r="Q123" s="10"/>
    </row>
    <row r="124" spans="1:17" x14ac:dyDescent="0.25">
      <c r="B124" s="9"/>
      <c r="C124" s="9"/>
      <c r="D124" s="9"/>
      <c r="E124" s="9"/>
      <c r="F124" s="9"/>
      <c r="G124" s="9"/>
      <c r="H124" s="9"/>
      <c r="I124" s="9"/>
      <c r="J124" s="9"/>
      <c r="K124" s="9"/>
      <c r="L124" s="9"/>
      <c r="M124" s="9"/>
      <c r="N124" s="9"/>
      <c r="O124" s="10"/>
      <c r="P124" s="10"/>
      <c r="Q124" s="10"/>
    </row>
    <row r="125" spans="1:17" x14ac:dyDescent="0.25">
      <c r="B125" s="9"/>
      <c r="C125" s="9"/>
      <c r="D125" s="9"/>
      <c r="E125" s="9"/>
      <c r="F125" s="9"/>
      <c r="G125" s="9"/>
      <c r="H125" s="9"/>
      <c r="I125" s="9"/>
      <c r="J125" s="9"/>
      <c r="K125" s="9"/>
      <c r="L125" s="9"/>
      <c r="M125" s="9"/>
      <c r="N125" s="9"/>
      <c r="O125" s="10"/>
      <c r="P125" s="10"/>
      <c r="Q125" s="10"/>
    </row>
    <row r="126" spans="1:17" x14ac:dyDescent="0.25">
      <c r="B126" s="9"/>
      <c r="C126" s="9"/>
      <c r="D126" s="9"/>
      <c r="E126" s="9"/>
      <c r="F126" s="9"/>
      <c r="G126" s="9"/>
      <c r="H126" s="9"/>
      <c r="I126" s="9"/>
      <c r="J126" s="9"/>
      <c r="K126" s="9"/>
      <c r="L126" s="9"/>
      <c r="M126" s="9"/>
      <c r="N126" s="9"/>
      <c r="O126" s="10"/>
      <c r="P126" s="10"/>
      <c r="Q126" s="10"/>
    </row>
    <row r="127" spans="1:17" x14ac:dyDescent="0.25">
      <c r="B127" s="9"/>
      <c r="C127" s="9"/>
      <c r="D127" s="9"/>
      <c r="E127" s="9"/>
      <c r="F127" s="9"/>
      <c r="G127" s="9"/>
      <c r="H127" s="9"/>
      <c r="I127" s="9"/>
      <c r="J127" s="9"/>
      <c r="K127" s="9"/>
      <c r="L127" s="9"/>
      <c r="M127" s="9"/>
      <c r="N127" s="9"/>
      <c r="O127" s="10"/>
      <c r="P127" s="10"/>
      <c r="Q127" s="10"/>
    </row>
    <row r="128" spans="1:17" x14ac:dyDescent="0.25">
      <c r="B128" s="9"/>
      <c r="C128" s="9"/>
      <c r="D128" s="9"/>
      <c r="E128" s="9"/>
      <c r="F128" s="9"/>
      <c r="G128" s="9"/>
      <c r="H128" s="9"/>
      <c r="I128" s="9"/>
      <c r="J128" s="9"/>
      <c r="K128" s="9"/>
      <c r="L128" s="9"/>
      <c r="M128" s="9"/>
      <c r="N128" s="9"/>
      <c r="O128" s="10"/>
      <c r="P128" s="10"/>
      <c r="Q128" s="10"/>
    </row>
    <row r="129" spans="2:17" x14ac:dyDescent="0.25">
      <c r="B129" s="9"/>
      <c r="C129" s="9"/>
      <c r="D129" s="9"/>
      <c r="E129" s="9"/>
      <c r="F129" s="9"/>
      <c r="G129" s="9"/>
      <c r="H129" s="9"/>
      <c r="I129" s="9"/>
      <c r="J129" s="9"/>
      <c r="K129" s="9"/>
      <c r="L129" s="9"/>
      <c r="M129" s="9"/>
      <c r="N129" s="9"/>
      <c r="O129" s="10"/>
      <c r="P129" s="10"/>
      <c r="Q129" s="10"/>
    </row>
    <row r="130" spans="2:17" x14ac:dyDescent="0.25">
      <c r="B130" s="9"/>
      <c r="C130" s="9"/>
      <c r="D130" s="9"/>
      <c r="E130" s="9"/>
      <c r="F130" s="9"/>
      <c r="G130" s="9"/>
      <c r="H130" s="9"/>
      <c r="I130" s="9"/>
      <c r="J130" s="9"/>
      <c r="K130" s="9"/>
      <c r="L130" s="9"/>
      <c r="M130" s="9"/>
      <c r="N130" s="9"/>
      <c r="O130" s="10"/>
      <c r="P130" s="10"/>
      <c r="Q130" s="10"/>
    </row>
    <row r="131" spans="2:17" x14ac:dyDescent="0.25">
      <c r="B131" s="9"/>
      <c r="C131" s="9"/>
      <c r="D131" s="9"/>
      <c r="E131" s="9"/>
      <c r="F131" s="9"/>
      <c r="G131" s="9"/>
      <c r="H131" s="9"/>
      <c r="I131" s="9"/>
      <c r="J131" s="9"/>
      <c r="K131" s="9"/>
      <c r="L131" s="9"/>
      <c r="M131" s="9"/>
      <c r="N131" s="9"/>
      <c r="O131" s="10"/>
      <c r="P131" s="10"/>
      <c r="Q131" s="10"/>
    </row>
    <row r="132" spans="2:17" x14ac:dyDescent="0.25">
      <c r="B132" s="9"/>
      <c r="C132" s="9"/>
      <c r="D132" s="9"/>
      <c r="E132" s="9"/>
      <c r="F132" s="9"/>
      <c r="G132" s="9"/>
      <c r="H132" s="9"/>
      <c r="I132" s="9"/>
      <c r="J132" s="9"/>
      <c r="K132" s="9"/>
      <c r="L132" s="9"/>
      <c r="M132" s="9"/>
      <c r="N132" s="9"/>
      <c r="O132" s="10"/>
      <c r="P132" s="10"/>
      <c r="Q132" s="10"/>
    </row>
    <row r="133" spans="2:17" x14ac:dyDescent="0.25">
      <c r="B133" s="9"/>
      <c r="C133" s="9"/>
      <c r="D133" s="9"/>
      <c r="E133" s="9"/>
      <c r="F133" s="9"/>
      <c r="G133" s="9"/>
      <c r="H133" s="9"/>
      <c r="I133" s="9"/>
      <c r="J133" s="9"/>
      <c r="K133" s="9"/>
      <c r="L133" s="9"/>
      <c r="M133" s="9"/>
      <c r="N133" s="9"/>
      <c r="O133" s="10"/>
      <c r="P133" s="10"/>
      <c r="Q133" s="10"/>
    </row>
    <row r="134" spans="2:17" x14ac:dyDescent="0.25">
      <c r="B134" s="9"/>
      <c r="C134" s="9"/>
      <c r="D134" s="9"/>
      <c r="E134" s="9"/>
      <c r="F134" s="9"/>
      <c r="G134" s="9"/>
      <c r="H134" s="9"/>
      <c r="I134" s="9"/>
      <c r="J134" s="9"/>
      <c r="K134" s="9"/>
      <c r="L134" s="9"/>
      <c r="M134" s="9"/>
      <c r="N134" s="9"/>
      <c r="O134" s="10"/>
      <c r="P134" s="10"/>
      <c r="Q134" s="10"/>
    </row>
    <row r="135" spans="2:17" x14ac:dyDescent="0.25">
      <c r="B135" s="9"/>
      <c r="C135" s="9"/>
      <c r="D135" s="9"/>
      <c r="E135" s="9"/>
      <c r="F135" s="9"/>
      <c r="G135" s="9"/>
      <c r="H135" s="9"/>
      <c r="I135" s="9"/>
      <c r="J135" s="9"/>
      <c r="K135" s="9"/>
      <c r="L135" s="9"/>
      <c r="M135" s="9"/>
      <c r="N135" s="9"/>
      <c r="O135" s="10"/>
      <c r="P135" s="10"/>
      <c r="Q135" s="10"/>
    </row>
    <row r="136" spans="2:17" x14ac:dyDescent="0.25">
      <c r="B136" s="9"/>
      <c r="C136" s="9"/>
      <c r="D136" s="9"/>
      <c r="E136" s="9"/>
      <c r="F136" s="9"/>
      <c r="G136" s="9"/>
      <c r="H136" s="9"/>
      <c r="I136" s="9"/>
      <c r="J136" s="9"/>
      <c r="K136" s="9"/>
      <c r="L136" s="9"/>
      <c r="M136" s="9"/>
      <c r="N136" s="9"/>
      <c r="O136" s="10"/>
      <c r="P136" s="10"/>
      <c r="Q136" s="10"/>
    </row>
    <row r="137" spans="2:17" x14ac:dyDescent="0.25">
      <c r="B137" s="9"/>
      <c r="C137" s="9"/>
      <c r="D137" s="9"/>
      <c r="E137" s="9"/>
      <c r="F137" s="9"/>
      <c r="G137" s="9"/>
      <c r="H137" s="9"/>
      <c r="I137" s="9"/>
      <c r="J137" s="9"/>
      <c r="K137" s="9"/>
      <c r="L137" s="9"/>
      <c r="M137" s="9"/>
      <c r="N137" s="9"/>
      <c r="O137" s="10"/>
      <c r="P137" s="10"/>
      <c r="Q137" s="10"/>
    </row>
    <row r="138" spans="2:17" x14ac:dyDescent="0.25">
      <c r="B138" s="9"/>
      <c r="C138" s="9"/>
      <c r="D138" s="9"/>
      <c r="E138" s="9"/>
      <c r="F138" s="9"/>
      <c r="G138" s="9"/>
      <c r="H138" s="9"/>
      <c r="I138" s="9"/>
      <c r="J138" s="9"/>
      <c r="K138" s="9"/>
      <c r="L138" s="9"/>
      <c r="M138" s="9"/>
      <c r="N138" s="9"/>
      <c r="O138" s="10"/>
      <c r="P138" s="10"/>
      <c r="Q138" s="10"/>
    </row>
    <row r="139" spans="2:17" x14ac:dyDescent="0.25">
      <c r="B139" s="9"/>
      <c r="C139" s="9"/>
      <c r="D139" s="9"/>
      <c r="E139" s="9"/>
      <c r="F139" s="9"/>
      <c r="G139" s="9"/>
      <c r="H139" s="9"/>
      <c r="I139" s="9"/>
      <c r="J139" s="9"/>
      <c r="K139" s="9"/>
      <c r="L139" s="9"/>
      <c r="M139" s="9"/>
      <c r="N139" s="9"/>
      <c r="O139" s="10"/>
      <c r="P139" s="10"/>
      <c r="Q139" s="10"/>
    </row>
    <row r="140" spans="2:17" x14ac:dyDescent="0.25">
      <c r="B140" s="9"/>
      <c r="C140" s="9"/>
      <c r="D140" s="9"/>
      <c r="E140" s="9"/>
      <c r="F140" s="9"/>
      <c r="G140" s="9"/>
      <c r="H140" s="9"/>
      <c r="I140" s="9"/>
      <c r="J140" s="9"/>
      <c r="K140" s="9"/>
      <c r="L140" s="9"/>
      <c r="M140" s="9"/>
      <c r="N140" s="9"/>
      <c r="O140" s="10"/>
      <c r="P140" s="10"/>
      <c r="Q140" s="10"/>
    </row>
    <row r="141" spans="2:17" x14ac:dyDescent="0.25">
      <c r="B141" s="9"/>
      <c r="C141" s="9"/>
      <c r="D141" s="9"/>
      <c r="E141" s="9"/>
      <c r="F141" s="9"/>
      <c r="G141" s="9"/>
      <c r="H141" s="9"/>
      <c r="I141" s="9"/>
      <c r="J141" s="9"/>
      <c r="K141" s="9"/>
      <c r="L141" s="9"/>
      <c r="M141" s="9"/>
      <c r="N141" s="9"/>
      <c r="O141" s="10"/>
      <c r="P141" s="10"/>
      <c r="Q141" s="10"/>
    </row>
    <row r="142" spans="2:17" x14ac:dyDescent="0.25">
      <c r="B142" s="9"/>
      <c r="C142" s="9"/>
      <c r="D142" s="9"/>
      <c r="E142" s="9"/>
      <c r="F142" s="9"/>
      <c r="G142" s="9"/>
      <c r="H142" s="9"/>
      <c r="I142" s="9"/>
      <c r="J142" s="9"/>
      <c r="K142" s="9"/>
      <c r="L142" s="9"/>
      <c r="M142" s="9"/>
      <c r="N142" s="9"/>
      <c r="O142" s="10"/>
      <c r="P142" s="10"/>
      <c r="Q142" s="10"/>
    </row>
    <row r="143" spans="2:17" x14ac:dyDescent="0.25">
      <c r="B143" s="9"/>
      <c r="C143" s="9"/>
      <c r="D143" s="9"/>
      <c r="E143" s="9"/>
      <c r="F143" s="9"/>
      <c r="G143" s="9"/>
      <c r="H143" s="9"/>
      <c r="I143" s="9"/>
      <c r="J143" s="9"/>
      <c r="K143" s="9"/>
      <c r="L143" s="9"/>
      <c r="M143" s="9"/>
      <c r="N143" s="9"/>
      <c r="O143" s="10"/>
      <c r="P143" s="10"/>
      <c r="Q143" s="10"/>
    </row>
    <row r="144" spans="2:17" x14ac:dyDescent="0.25">
      <c r="B144" s="9"/>
      <c r="C144" s="9"/>
      <c r="D144" s="9"/>
      <c r="E144" s="9"/>
      <c r="F144" s="9"/>
      <c r="G144" s="9"/>
      <c r="H144" s="9"/>
      <c r="I144" s="9"/>
      <c r="J144" s="9"/>
      <c r="K144" s="9"/>
      <c r="L144" s="9"/>
      <c r="M144" s="9"/>
      <c r="N144" s="9"/>
      <c r="O144" s="10"/>
      <c r="P144" s="10"/>
      <c r="Q144" s="10"/>
    </row>
    <row r="145" spans="2:17" x14ac:dyDescent="0.25">
      <c r="B145" s="9"/>
      <c r="C145" s="9"/>
      <c r="D145" s="9"/>
      <c r="E145" s="9"/>
      <c r="F145" s="9"/>
      <c r="G145" s="9"/>
      <c r="H145" s="9"/>
      <c r="I145" s="9"/>
      <c r="J145" s="9"/>
      <c r="K145" s="9"/>
      <c r="L145" s="9"/>
      <c r="M145" s="9"/>
      <c r="N145" s="9"/>
      <c r="O145" s="10"/>
      <c r="P145" s="10"/>
      <c r="Q145" s="10"/>
    </row>
    <row r="146" spans="2:17" x14ac:dyDescent="0.25">
      <c r="B146" s="9"/>
      <c r="C146" s="9"/>
      <c r="D146" s="9"/>
      <c r="E146" s="9"/>
      <c r="F146" s="9"/>
      <c r="G146" s="9"/>
      <c r="H146" s="9"/>
      <c r="I146" s="9"/>
      <c r="J146" s="9"/>
      <c r="K146" s="9"/>
      <c r="L146" s="9"/>
      <c r="M146" s="9"/>
      <c r="N146" s="9"/>
      <c r="O146" s="10"/>
      <c r="P146" s="10"/>
      <c r="Q146" s="10"/>
    </row>
    <row r="147" spans="2:17" x14ac:dyDescent="0.25">
      <c r="B147" s="9"/>
      <c r="C147" s="9"/>
      <c r="D147" s="9"/>
      <c r="E147" s="9"/>
      <c r="F147" s="9"/>
      <c r="G147" s="9"/>
      <c r="H147" s="9"/>
      <c r="I147" s="9"/>
      <c r="J147" s="9"/>
      <c r="K147" s="9"/>
      <c r="L147" s="9"/>
      <c r="M147" s="9"/>
      <c r="N147" s="9"/>
      <c r="O147" s="10"/>
      <c r="P147" s="10"/>
      <c r="Q147" s="10"/>
    </row>
    <row r="148" spans="2:17" x14ac:dyDescent="0.25">
      <c r="B148" s="9"/>
      <c r="C148" s="9"/>
      <c r="D148" s="9"/>
      <c r="E148" s="9"/>
      <c r="F148" s="9"/>
      <c r="G148" s="9"/>
      <c r="H148" s="9"/>
      <c r="I148" s="9"/>
      <c r="J148" s="9"/>
      <c r="K148" s="9"/>
      <c r="L148" s="9"/>
      <c r="M148" s="9"/>
      <c r="N148" s="9"/>
      <c r="O148" s="10"/>
      <c r="P148" s="10"/>
      <c r="Q148" s="10"/>
    </row>
    <row r="149" spans="2:17" x14ac:dyDescent="0.25">
      <c r="B149" s="9"/>
      <c r="C149" s="9"/>
      <c r="D149" s="9"/>
      <c r="E149" s="9"/>
      <c r="F149" s="9"/>
      <c r="G149" s="9"/>
      <c r="H149" s="9"/>
      <c r="I149" s="9"/>
      <c r="J149" s="9"/>
      <c r="K149" s="9"/>
      <c r="L149" s="9"/>
      <c r="M149" s="9"/>
      <c r="N149" s="9"/>
      <c r="O149" s="10"/>
      <c r="P149" s="10"/>
      <c r="Q149" s="10"/>
    </row>
    <row r="150" spans="2:17" x14ac:dyDescent="0.25">
      <c r="B150" s="9"/>
      <c r="C150" s="9"/>
      <c r="D150" s="9"/>
      <c r="E150" s="9"/>
      <c r="F150" s="9"/>
      <c r="G150" s="9"/>
      <c r="H150" s="9"/>
      <c r="I150" s="9"/>
      <c r="J150" s="9"/>
      <c r="K150" s="9"/>
      <c r="L150" s="9"/>
      <c r="M150" s="9"/>
      <c r="N150" s="9"/>
      <c r="O150" s="10"/>
      <c r="P150" s="10"/>
      <c r="Q150" s="10"/>
    </row>
    <row r="151" spans="2:17" x14ac:dyDescent="0.25">
      <c r="B151" s="9"/>
      <c r="C151" s="9"/>
      <c r="D151" s="9"/>
      <c r="E151" s="9"/>
      <c r="F151" s="9"/>
      <c r="G151" s="9"/>
      <c r="H151" s="9"/>
      <c r="I151" s="9"/>
      <c r="J151" s="9"/>
      <c r="K151" s="9"/>
      <c r="L151" s="9"/>
      <c r="M151" s="9"/>
      <c r="N151" s="9"/>
      <c r="O151" s="10"/>
      <c r="P151" s="10"/>
      <c r="Q151" s="10"/>
    </row>
    <row r="152" spans="2:17" x14ac:dyDescent="0.25">
      <c r="B152" s="9"/>
      <c r="C152" s="9"/>
      <c r="D152" s="9"/>
      <c r="E152" s="9"/>
      <c r="F152" s="9"/>
      <c r="G152" s="9"/>
      <c r="H152" s="9"/>
      <c r="I152" s="9"/>
      <c r="J152" s="9"/>
      <c r="K152" s="9"/>
      <c r="L152" s="9"/>
      <c r="M152" s="9"/>
      <c r="N152" s="9"/>
      <c r="O152" s="10"/>
      <c r="P152" s="10"/>
      <c r="Q152" s="10"/>
    </row>
    <row r="153" spans="2:17" x14ac:dyDescent="0.25">
      <c r="B153" s="9"/>
      <c r="C153" s="9"/>
      <c r="D153" s="9"/>
      <c r="E153" s="9"/>
      <c r="F153" s="9"/>
      <c r="G153" s="9"/>
      <c r="H153" s="9"/>
      <c r="I153" s="9"/>
      <c r="J153" s="9"/>
      <c r="K153" s="9"/>
      <c r="L153" s="9"/>
      <c r="M153" s="9"/>
      <c r="N153" s="9"/>
      <c r="O153" s="10"/>
      <c r="P153" s="10"/>
      <c r="Q153" s="10"/>
    </row>
    <row r="154" spans="2:17" x14ac:dyDescent="0.25">
      <c r="B154" s="9"/>
      <c r="C154" s="9"/>
      <c r="D154" s="9"/>
      <c r="E154" s="9"/>
      <c r="F154" s="9"/>
      <c r="G154" s="9"/>
      <c r="H154" s="9"/>
      <c r="I154" s="9"/>
      <c r="J154" s="9"/>
      <c r="K154" s="9"/>
      <c r="L154" s="9"/>
      <c r="M154" s="9"/>
      <c r="N154" s="9"/>
      <c r="O154" s="10"/>
      <c r="P154" s="10"/>
      <c r="Q154" s="10"/>
    </row>
    <row r="155" spans="2:17" x14ac:dyDescent="0.25">
      <c r="B155" s="9"/>
      <c r="C155" s="9"/>
      <c r="D155" s="9"/>
      <c r="E155" s="9"/>
      <c r="F155" s="9"/>
      <c r="G155" s="9"/>
      <c r="H155" s="9"/>
      <c r="I155" s="9"/>
      <c r="J155" s="9"/>
      <c r="K155" s="9"/>
      <c r="L155" s="9"/>
      <c r="M155" s="9"/>
      <c r="N155" s="9"/>
      <c r="O155" s="10"/>
      <c r="P155" s="10"/>
      <c r="Q155" s="10"/>
    </row>
    <row r="156" spans="2:17" x14ac:dyDescent="0.25">
      <c r="B156" s="9"/>
      <c r="C156" s="9"/>
      <c r="D156" s="9"/>
      <c r="E156" s="9"/>
      <c r="F156" s="9"/>
      <c r="G156" s="9"/>
      <c r="H156" s="9"/>
      <c r="I156" s="9"/>
      <c r="J156" s="9"/>
      <c r="K156" s="9"/>
      <c r="L156" s="9"/>
      <c r="M156" s="9"/>
      <c r="N156" s="9"/>
      <c r="O156" s="10"/>
      <c r="P156" s="10"/>
      <c r="Q156" s="10"/>
    </row>
    <row r="157" spans="2:17" x14ac:dyDescent="0.25">
      <c r="B157" s="9"/>
      <c r="C157" s="9"/>
      <c r="D157" s="9"/>
      <c r="E157" s="9"/>
      <c r="F157" s="9"/>
      <c r="G157" s="9"/>
      <c r="H157" s="9"/>
      <c r="I157" s="9"/>
      <c r="J157" s="9"/>
      <c r="K157" s="9"/>
      <c r="L157" s="9"/>
      <c r="M157" s="9"/>
      <c r="N157" s="9"/>
      <c r="O157" s="10"/>
      <c r="P157" s="10"/>
      <c r="Q157" s="10"/>
    </row>
    <row r="158" spans="2:17" x14ac:dyDescent="0.25">
      <c r="B158" s="9"/>
      <c r="C158" s="9"/>
      <c r="D158" s="9"/>
      <c r="E158" s="9"/>
      <c r="F158" s="9"/>
      <c r="G158" s="9"/>
      <c r="H158" s="9"/>
      <c r="I158" s="9"/>
      <c r="J158" s="9"/>
      <c r="K158" s="9"/>
      <c r="L158" s="9"/>
      <c r="M158" s="9"/>
      <c r="N158" s="9"/>
      <c r="O158" s="10"/>
      <c r="P158" s="10"/>
      <c r="Q158" s="10"/>
    </row>
    <row r="159" spans="2:17" x14ac:dyDescent="0.25">
      <c r="B159" s="9"/>
      <c r="C159" s="9"/>
      <c r="D159" s="9"/>
      <c r="E159" s="9"/>
      <c r="F159" s="9"/>
      <c r="G159" s="9"/>
      <c r="H159" s="9"/>
      <c r="I159" s="9"/>
      <c r="J159" s="9"/>
      <c r="K159" s="9"/>
      <c r="L159" s="9"/>
      <c r="M159" s="9"/>
      <c r="N159" s="9"/>
      <c r="O159" s="10"/>
      <c r="P159" s="10"/>
      <c r="Q159" s="10"/>
    </row>
    <row r="160" spans="2:17" x14ac:dyDescent="0.25">
      <c r="B160" s="9"/>
      <c r="C160" s="9"/>
      <c r="D160" s="9"/>
      <c r="E160" s="9"/>
      <c r="F160" s="9"/>
      <c r="G160" s="9"/>
      <c r="H160" s="9"/>
      <c r="I160" s="9"/>
      <c r="J160" s="9"/>
      <c r="K160" s="9"/>
      <c r="L160" s="9"/>
      <c r="M160" s="9"/>
      <c r="N160" s="9"/>
      <c r="O160" s="10"/>
      <c r="P160" s="10"/>
      <c r="Q160" s="10"/>
    </row>
    <row r="161" spans="2:17" x14ac:dyDescent="0.25">
      <c r="B161" s="9"/>
      <c r="C161" s="9"/>
      <c r="D161" s="9"/>
      <c r="E161" s="9"/>
      <c r="F161" s="9"/>
      <c r="G161" s="9"/>
      <c r="H161" s="9"/>
      <c r="I161" s="9"/>
      <c r="J161" s="9"/>
      <c r="K161" s="9"/>
      <c r="L161" s="9"/>
      <c r="M161" s="9"/>
      <c r="N161" s="9"/>
      <c r="O161" s="10"/>
      <c r="P161" s="10"/>
      <c r="Q161" s="10"/>
    </row>
    <row r="162" spans="2:17" x14ac:dyDescent="0.25">
      <c r="B162" s="9"/>
      <c r="C162" s="9"/>
      <c r="D162" s="9"/>
      <c r="E162" s="9"/>
      <c r="F162" s="9"/>
      <c r="G162" s="9"/>
      <c r="H162" s="9"/>
      <c r="I162" s="9"/>
      <c r="J162" s="9"/>
      <c r="K162" s="9"/>
      <c r="L162" s="9"/>
      <c r="M162" s="9"/>
      <c r="N162" s="9"/>
      <c r="O162" s="10"/>
      <c r="P162" s="10"/>
      <c r="Q162" s="10"/>
    </row>
    <row r="163" spans="2:17" x14ac:dyDescent="0.25">
      <c r="B163" s="9"/>
      <c r="C163" s="9"/>
      <c r="D163" s="9"/>
      <c r="E163" s="9"/>
      <c r="F163" s="9"/>
      <c r="G163" s="9"/>
      <c r="H163" s="9"/>
      <c r="I163" s="9"/>
      <c r="J163" s="9"/>
      <c r="K163" s="9"/>
      <c r="L163" s="9"/>
      <c r="M163" s="9"/>
      <c r="N163" s="9"/>
      <c r="O163" s="10"/>
      <c r="P163" s="10"/>
      <c r="Q163" s="10"/>
    </row>
    <row r="164" spans="2:17" x14ac:dyDescent="0.25">
      <c r="B164" s="9"/>
      <c r="C164" s="9"/>
      <c r="D164" s="9"/>
      <c r="E164" s="9"/>
      <c r="F164" s="9"/>
      <c r="G164" s="9"/>
      <c r="H164" s="9"/>
      <c r="I164" s="9"/>
      <c r="J164" s="9"/>
      <c r="K164" s="9"/>
      <c r="L164" s="9"/>
      <c r="M164" s="9"/>
      <c r="N164" s="9"/>
      <c r="O164" s="10"/>
      <c r="P164" s="10"/>
      <c r="Q164" s="10"/>
    </row>
    <row r="165" spans="2:17" x14ac:dyDescent="0.25">
      <c r="B165" s="9"/>
      <c r="C165" s="9"/>
      <c r="D165" s="9"/>
      <c r="E165" s="9"/>
      <c r="F165" s="9"/>
      <c r="G165" s="9"/>
      <c r="H165" s="9"/>
      <c r="I165" s="9"/>
      <c r="J165" s="9"/>
      <c r="K165" s="9"/>
      <c r="L165" s="9"/>
      <c r="M165" s="9"/>
      <c r="N165" s="9"/>
      <c r="O165" s="10"/>
      <c r="P165" s="10"/>
      <c r="Q165" s="10"/>
    </row>
    <row r="166" spans="2:17" x14ac:dyDescent="0.25">
      <c r="B166" s="9"/>
      <c r="C166" s="9"/>
      <c r="D166" s="9"/>
      <c r="E166" s="9"/>
      <c r="F166" s="9"/>
      <c r="G166" s="9"/>
      <c r="H166" s="9"/>
      <c r="I166" s="9"/>
      <c r="J166" s="9"/>
      <c r="K166" s="9"/>
      <c r="L166" s="9"/>
      <c r="M166" s="9"/>
      <c r="N166" s="9"/>
      <c r="O166" s="10"/>
      <c r="P166" s="10"/>
      <c r="Q166" s="10"/>
    </row>
    <row r="167" spans="2:17" x14ac:dyDescent="0.25">
      <c r="B167" s="9"/>
      <c r="C167" s="9"/>
      <c r="D167" s="9"/>
      <c r="E167" s="9"/>
      <c r="F167" s="9"/>
      <c r="G167" s="9"/>
      <c r="H167" s="9"/>
      <c r="I167" s="9"/>
      <c r="J167" s="9"/>
      <c r="K167" s="9"/>
      <c r="L167" s="9"/>
      <c r="M167" s="9"/>
      <c r="N167" s="9"/>
      <c r="O167" s="10"/>
      <c r="P167" s="10"/>
      <c r="Q167" s="10"/>
    </row>
    <row r="168" spans="2:17" x14ac:dyDescent="0.25">
      <c r="B168" s="9"/>
      <c r="C168" s="9"/>
      <c r="D168" s="9"/>
      <c r="E168" s="9"/>
      <c r="F168" s="9"/>
      <c r="G168" s="9"/>
      <c r="H168" s="9"/>
      <c r="I168" s="9"/>
      <c r="J168" s="9"/>
      <c r="K168" s="9"/>
      <c r="L168" s="9"/>
      <c r="M168" s="9"/>
      <c r="N168" s="9"/>
      <c r="O168" s="10"/>
      <c r="P168" s="10"/>
      <c r="Q168" s="10"/>
    </row>
    <row r="169" spans="2:17" x14ac:dyDescent="0.25">
      <c r="B169" s="9"/>
      <c r="C169" s="9"/>
      <c r="D169" s="9"/>
      <c r="E169" s="9"/>
      <c r="F169" s="9"/>
      <c r="G169" s="9"/>
      <c r="H169" s="9"/>
      <c r="I169" s="9"/>
      <c r="J169" s="9"/>
      <c r="K169" s="9"/>
      <c r="L169" s="9"/>
      <c r="M169" s="9"/>
      <c r="N169" s="9"/>
      <c r="O169" s="10"/>
      <c r="P169" s="10"/>
      <c r="Q169" s="10"/>
    </row>
    <row r="170" spans="2:17" x14ac:dyDescent="0.25">
      <c r="B170" s="9"/>
      <c r="C170" s="9"/>
      <c r="D170" s="9"/>
      <c r="E170" s="9"/>
      <c r="F170" s="9"/>
      <c r="G170" s="9"/>
      <c r="H170" s="9"/>
      <c r="I170" s="9"/>
      <c r="J170" s="9"/>
      <c r="K170" s="9"/>
      <c r="L170" s="9"/>
      <c r="M170" s="9"/>
      <c r="N170" s="9"/>
      <c r="O170" s="10"/>
      <c r="P170" s="10"/>
      <c r="Q170" s="10"/>
    </row>
    <row r="171" spans="2:17" x14ac:dyDescent="0.25">
      <c r="B171" s="9"/>
      <c r="C171" s="9"/>
      <c r="D171" s="9"/>
      <c r="E171" s="9"/>
      <c r="F171" s="9"/>
      <c r="G171" s="9"/>
      <c r="H171" s="9"/>
      <c r="I171" s="9"/>
      <c r="J171" s="9"/>
      <c r="K171" s="9"/>
      <c r="L171" s="9"/>
      <c r="M171" s="9"/>
      <c r="N171" s="9"/>
      <c r="O171" s="10"/>
      <c r="P171" s="10"/>
      <c r="Q171" s="10"/>
    </row>
    <row r="172" spans="2:17" x14ac:dyDescent="0.25">
      <c r="B172" s="9"/>
      <c r="C172" s="9"/>
      <c r="D172" s="9"/>
      <c r="E172" s="9"/>
      <c r="F172" s="9"/>
      <c r="G172" s="9"/>
      <c r="H172" s="9"/>
      <c r="I172" s="9"/>
      <c r="J172" s="9"/>
      <c r="K172" s="9"/>
      <c r="L172" s="9"/>
      <c r="M172" s="9"/>
      <c r="N172" s="9"/>
      <c r="O172" s="10"/>
      <c r="P172" s="10"/>
      <c r="Q172" s="10"/>
    </row>
    <row r="173" spans="2:17" x14ac:dyDescent="0.25">
      <c r="B173" s="9"/>
      <c r="C173" s="9"/>
      <c r="D173" s="9"/>
      <c r="E173" s="9"/>
      <c r="F173" s="9"/>
      <c r="G173" s="9"/>
      <c r="H173" s="9"/>
      <c r="I173" s="9"/>
      <c r="J173" s="9"/>
      <c r="K173" s="9"/>
      <c r="L173" s="9"/>
      <c r="M173" s="9"/>
      <c r="N173" s="9"/>
      <c r="O173" s="10"/>
      <c r="P173" s="10"/>
      <c r="Q173" s="10"/>
    </row>
    <row r="174" spans="2:17" x14ac:dyDescent="0.25">
      <c r="B174" s="9"/>
      <c r="C174" s="9"/>
      <c r="D174" s="9"/>
      <c r="E174" s="9"/>
      <c r="F174" s="9"/>
      <c r="G174" s="9"/>
      <c r="H174" s="9"/>
      <c r="I174" s="9"/>
      <c r="J174" s="9"/>
      <c r="K174" s="9"/>
      <c r="L174" s="9"/>
      <c r="M174" s="9"/>
      <c r="N174" s="9"/>
      <c r="O174" s="10"/>
      <c r="P174" s="10"/>
      <c r="Q174" s="10"/>
    </row>
    <row r="175" spans="2:17" x14ac:dyDescent="0.25">
      <c r="B175" s="9"/>
      <c r="C175" s="9"/>
      <c r="D175" s="9"/>
      <c r="E175" s="9"/>
      <c r="F175" s="9"/>
      <c r="G175" s="9"/>
      <c r="H175" s="9"/>
      <c r="I175" s="9"/>
      <c r="J175" s="9"/>
      <c r="K175" s="9"/>
      <c r="L175" s="9"/>
      <c r="M175" s="9"/>
      <c r="N175" s="9"/>
      <c r="O175" s="10"/>
      <c r="P175" s="10"/>
      <c r="Q175" s="10"/>
    </row>
    <row r="176" spans="2:17" x14ac:dyDescent="0.25">
      <c r="B176" s="9"/>
      <c r="C176" s="9"/>
      <c r="D176" s="9"/>
      <c r="E176" s="9"/>
      <c r="F176" s="9"/>
      <c r="G176" s="9"/>
      <c r="H176" s="9"/>
      <c r="I176" s="9"/>
      <c r="J176" s="9"/>
      <c r="K176" s="9"/>
      <c r="L176" s="9"/>
      <c r="M176" s="9"/>
      <c r="N176" s="9"/>
      <c r="O176" s="10"/>
      <c r="P176" s="10"/>
      <c r="Q176" s="10"/>
    </row>
    <row r="177" spans="2:17" x14ac:dyDescent="0.25">
      <c r="B177" s="9"/>
      <c r="C177" s="9"/>
      <c r="D177" s="9"/>
      <c r="E177" s="9"/>
      <c r="F177" s="9"/>
      <c r="G177" s="9"/>
      <c r="H177" s="9"/>
      <c r="I177" s="9"/>
      <c r="J177" s="9"/>
      <c r="K177" s="9"/>
      <c r="L177" s="9"/>
      <c r="M177" s="9"/>
      <c r="N177" s="9"/>
      <c r="O177" s="10"/>
      <c r="P177" s="10"/>
      <c r="Q177" s="10"/>
    </row>
    <row r="178" spans="2:17" x14ac:dyDescent="0.25">
      <c r="B178" s="9"/>
      <c r="C178" s="9"/>
      <c r="D178" s="9"/>
      <c r="E178" s="9"/>
      <c r="F178" s="9"/>
      <c r="G178" s="9"/>
      <c r="H178" s="9"/>
      <c r="I178" s="9"/>
      <c r="J178" s="9"/>
      <c r="K178" s="9"/>
      <c r="L178" s="9"/>
      <c r="M178" s="9"/>
      <c r="N178" s="9"/>
      <c r="O178" s="10"/>
      <c r="P178" s="10"/>
      <c r="Q178" s="10"/>
    </row>
    <row r="179" spans="2:17" x14ac:dyDescent="0.25">
      <c r="B179" s="9"/>
      <c r="C179" s="9"/>
      <c r="D179" s="9"/>
      <c r="E179" s="9"/>
      <c r="F179" s="9"/>
      <c r="G179" s="9"/>
      <c r="H179" s="9"/>
      <c r="I179" s="9"/>
      <c r="J179" s="9"/>
      <c r="K179" s="9"/>
      <c r="L179" s="9"/>
      <c r="M179" s="9"/>
      <c r="N179" s="9"/>
      <c r="O179" s="10"/>
      <c r="P179" s="10"/>
      <c r="Q179" s="10"/>
    </row>
    <row r="180" spans="2:17" x14ac:dyDescent="0.25">
      <c r="B180" s="9"/>
      <c r="C180" s="9"/>
      <c r="D180" s="9"/>
      <c r="E180" s="9"/>
      <c r="F180" s="9"/>
      <c r="G180" s="9"/>
      <c r="H180" s="9"/>
      <c r="I180" s="9"/>
      <c r="J180" s="9"/>
      <c r="K180" s="9"/>
      <c r="L180" s="9"/>
      <c r="M180" s="9"/>
      <c r="N180" s="9"/>
      <c r="O180" s="10"/>
      <c r="P180" s="10"/>
      <c r="Q180" s="10"/>
    </row>
  </sheetData>
  <mergeCells count="1">
    <mergeCell ref="A2:N2"/>
  </mergeCells>
  <phoneticPr fontId="3" type="noConversion"/>
  <printOptions horizontalCentered="1" verticalCentered="1"/>
  <pageMargins left="0.78740157480314965" right="0.78740157480314965" top="0.98425196850393704" bottom="0.98425196850393704" header="0.51181102362204722" footer="0.51181102362204722"/>
  <pageSetup paperSize="9" scale="3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57"/>
    <outlinePr applyStyles="1" summaryBelow="0"/>
    <pageSetUpPr fitToPage="1"/>
  </sheetPr>
  <dimension ref="A2:Q247"/>
  <sheetViews>
    <sheetView workbookViewId="0">
      <selection activeCell="A7" sqref="A7"/>
    </sheetView>
  </sheetViews>
  <sheetFormatPr defaultColWidth="9.1796875" defaultRowHeight="13" outlineLevelRow="1" x14ac:dyDescent="0.3"/>
  <cols>
    <col min="1" max="1" width="52.7265625" style="21" bestFit="1" customWidth="1"/>
    <col min="2" max="14" width="15.1796875" style="21" customWidth="1"/>
    <col min="15" max="15" width="9.1796875" style="21" customWidth="1"/>
    <col min="16" max="16384" width="9.1796875" style="21"/>
  </cols>
  <sheetData>
    <row r="2" spans="1:17" ht="18.5" x14ac:dyDescent="0.3">
      <c r="A2" s="278" t="str">
        <f>DEBT_AS_OF_CURR_YEAR</f>
        <v>Державний та гарантований державою борг України за поточний рік</v>
      </c>
      <c r="B2" s="278"/>
      <c r="C2" s="278"/>
      <c r="D2" s="278"/>
      <c r="E2" s="278"/>
      <c r="F2" s="278"/>
      <c r="G2" s="278"/>
      <c r="H2" s="278"/>
      <c r="I2" s="278"/>
      <c r="J2" s="278"/>
      <c r="K2" s="278"/>
      <c r="L2" s="278"/>
      <c r="M2" s="278"/>
      <c r="N2" s="278"/>
      <c r="O2" s="25"/>
      <c r="P2" s="25"/>
      <c r="Q2" s="25"/>
    </row>
    <row r="3" spans="1:17" x14ac:dyDescent="0.3">
      <c r="A3" s="23"/>
    </row>
    <row r="4" spans="1:17" s="26" customFormat="1" x14ac:dyDescent="0.3">
      <c r="A4" s="139" t="str">
        <f>$A$2 &amp; " (" &amp;N4 &amp; ")"</f>
        <v>Державний та гарантований державою борг України за поточний рік (млрд. грн)</v>
      </c>
      <c r="N4" s="26" t="str">
        <f>VALUAH</f>
        <v>млрд. грн</v>
      </c>
    </row>
    <row r="5" spans="1:17" s="13" customFormat="1" x14ac:dyDescent="0.25">
      <c r="A5" s="11"/>
      <c r="B5" s="12">
        <v>45291</v>
      </c>
      <c r="C5" s="12">
        <v>45322</v>
      </c>
      <c r="D5" s="12">
        <v>45351</v>
      </c>
      <c r="E5" s="12">
        <v>45382</v>
      </c>
      <c r="F5" s="12">
        <v>45412</v>
      </c>
      <c r="G5" s="12">
        <v>45443</v>
      </c>
      <c r="H5" s="12">
        <v>45473</v>
      </c>
      <c r="I5" s="12">
        <v>45504</v>
      </c>
      <c r="J5" s="12">
        <v>45535</v>
      </c>
      <c r="K5" s="12">
        <v>45565</v>
      </c>
      <c r="L5" s="12">
        <v>45596</v>
      </c>
      <c r="M5" s="12">
        <v>45626</v>
      </c>
      <c r="N5" s="32">
        <v>45657</v>
      </c>
    </row>
    <row r="6" spans="1:17" s="14" customFormat="1" x14ac:dyDescent="0.25">
      <c r="A6" s="148" t="str">
        <f>DEBT_TOTAL</f>
        <v>Загальна сума державного та гарантованого державою боргу</v>
      </c>
      <c r="B6" s="43">
        <f>SUM(B7:B8)</f>
        <v>5519.6354586101497</v>
      </c>
      <c r="C6" s="43">
        <f t="shared" ref="C6:N6" si="0">SUM(C7:C8)</f>
        <v>5488.0437884565199</v>
      </c>
      <c r="D6" s="43">
        <f t="shared" si="0"/>
        <v>5490.0721255074805</v>
      </c>
      <c r="E6" s="43">
        <f t="shared" si="0"/>
        <v>5924.3840320867102</v>
      </c>
      <c r="F6" s="43">
        <f t="shared" si="0"/>
        <v>6010.7158054227693</v>
      </c>
      <c r="G6" s="43">
        <f t="shared" si="0"/>
        <v>6115.3982276941206</v>
      </c>
      <c r="H6" s="43">
        <f t="shared" si="0"/>
        <v>6168.0601610008198</v>
      </c>
      <c r="I6" s="43">
        <f t="shared" si="0"/>
        <v>6373.9845821147801</v>
      </c>
      <c r="J6" s="43">
        <f t="shared" si="0"/>
        <v>6372.7936338663203</v>
      </c>
      <c r="K6" s="43">
        <f t="shared" si="0"/>
        <v>6410.3432121414598</v>
      </c>
      <c r="L6" s="43">
        <f t="shared" si="0"/>
        <v>6414.6548865530995</v>
      </c>
      <c r="M6" s="43">
        <f>SUM(M7:M8)</f>
        <v>6645.7842960634607</v>
      </c>
      <c r="N6" s="43">
        <f t="shared" si="0"/>
        <v>6980.93401478539</v>
      </c>
    </row>
    <row r="7" spans="1:17" s="37" customFormat="1" outlineLevel="1" x14ac:dyDescent="0.3">
      <c r="A7" s="159" t="s">
        <v>57</v>
      </c>
      <c r="B7" s="160">
        <v>1656.49630379928</v>
      </c>
      <c r="C7" s="160">
        <v>1670.3974646002</v>
      </c>
      <c r="D7" s="160">
        <v>1665.38393269278</v>
      </c>
      <c r="E7" s="160">
        <v>1684.7276228201199</v>
      </c>
      <c r="F7" s="160">
        <v>1711.6649011664399</v>
      </c>
      <c r="G7" s="160">
        <v>1705.1476223949201</v>
      </c>
      <c r="H7" s="160">
        <v>1711.59490621538</v>
      </c>
      <c r="I7" s="160">
        <v>1740.7725892068099</v>
      </c>
      <c r="J7" s="160">
        <v>1750.4719266997499</v>
      </c>
      <c r="K7" s="160">
        <v>1796.2060528819</v>
      </c>
      <c r="L7" s="160">
        <v>1829.0799631345301</v>
      </c>
      <c r="M7" s="160">
        <v>1874.5598052938401</v>
      </c>
      <c r="N7" s="161">
        <v>1932.48958136344</v>
      </c>
    </row>
    <row r="8" spans="1:17" s="37" customFormat="1" outlineLevel="1" x14ac:dyDescent="0.3">
      <c r="A8" s="159" t="s">
        <v>95</v>
      </c>
      <c r="B8" s="160">
        <v>3863.13915481087</v>
      </c>
      <c r="C8" s="160">
        <v>3817.6463238563201</v>
      </c>
      <c r="D8" s="160">
        <v>3824.6881928147</v>
      </c>
      <c r="E8" s="160">
        <v>4239.6564092665903</v>
      </c>
      <c r="F8" s="160">
        <v>4299.0509042563299</v>
      </c>
      <c r="G8" s="160">
        <v>4410.2506052992003</v>
      </c>
      <c r="H8" s="160">
        <v>4456.4652547854403</v>
      </c>
      <c r="I8" s="160">
        <v>4633.2119929079699</v>
      </c>
      <c r="J8" s="160">
        <v>4622.3217071665704</v>
      </c>
      <c r="K8" s="160">
        <v>4614.1371592595597</v>
      </c>
      <c r="L8" s="160">
        <v>4585.5749234185696</v>
      </c>
      <c r="M8" s="160">
        <v>4771.2244907696204</v>
      </c>
      <c r="N8" s="161">
        <v>5048.4444334219497</v>
      </c>
    </row>
    <row r="9" spans="1:17" x14ac:dyDescent="0.3">
      <c r="B9" s="25"/>
      <c r="C9" s="25"/>
      <c r="D9" s="25"/>
      <c r="E9" s="25"/>
      <c r="F9" s="25"/>
      <c r="G9" s="25"/>
      <c r="H9" s="25"/>
      <c r="I9" s="25"/>
      <c r="J9" s="25"/>
      <c r="K9" s="25"/>
      <c r="L9" s="25"/>
      <c r="M9" s="25"/>
      <c r="N9" s="25"/>
      <c r="O9" s="25"/>
    </row>
    <row r="10" spans="1:17" x14ac:dyDescent="0.3">
      <c r="A10" s="139" t="str">
        <f>$A$2 &amp; " (" &amp;N10 &amp; ")"</f>
        <v>Державний та гарантований державою борг України за поточний рік (млрд. дол. США)</v>
      </c>
      <c r="B10" s="25"/>
      <c r="C10" s="25"/>
      <c r="D10" s="25"/>
      <c r="E10" s="25"/>
      <c r="F10" s="25"/>
      <c r="G10" s="25"/>
      <c r="H10" s="25"/>
      <c r="I10" s="25"/>
      <c r="J10" s="25"/>
      <c r="K10" s="36"/>
      <c r="L10" s="25"/>
      <c r="M10" s="25"/>
      <c r="N10" s="26" t="str">
        <f>VALUSD</f>
        <v>млрд. дол. США</v>
      </c>
      <c r="O10" s="25"/>
    </row>
    <row r="11" spans="1:17" s="33" customFormat="1" x14ac:dyDescent="0.3">
      <c r="A11" s="11"/>
      <c r="B11" s="12">
        <v>45291</v>
      </c>
      <c r="C11" s="12">
        <v>45322</v>
      </c>
      <c r="D11" s="12">
        <v>45351</v>
      </c>
      <c r="E11" s="12">
        <v>45382</v>
      </c>
      <c r="F11" s="12">
        <v>45412</v>
      </c>
      <c r="G11" s="12">
        <v>45443</v>
      </c>
      <c r="H11" s="12">
        <v>45473</v>
      </c>
      <c r="I11" s="12">
        <v>45504</v>
      </c>
      <c r="J11" s="12">
        <v>45535</v>
      </c>
      <c r="K11" s="12">
        <v>45565</v>
      </c>
      <c r="L11" s="12">
        <v>45596</v>
      </c>
      <c r="M11" s="12">
        <v>45626</v>
      </c>
      <c r="N11" s="32">
        <v>45657</v>
      </c>
      <c r="O11" s="13"/>
      <c r="P11" s="13"/>
      <c r="Q11" s="13"/>
    </row>
    <row r="12" spans="1:17" s="35" customFormat="1" x14ac:dyDescent="0.3">
      <c r="A12" s="148" t="str">
        <f>DEBT_TOTAL</f>
        <v>Загальна сума державного та гарантованого державою боргу</v>
      </c>
      <c r="B12" s="43">
        <f t="shared" ref="B12:N12" si="1">SUM(B13:B14)</f>
        <v>145.32087120896</v>
      </c>
      <c r="C12" s="43">
        <f t="shared" si="1"/>
        <v>144.90037620069</v>
      </c>
      <c r="D12" s="43">
        <f t="shared" si="1"/>
        <v>143.69020185762</v>
      </c>
      <c r="E12" s="43">
        <f t="shared" si="1"/>
        <v>151.04978486445</v>
      </c>
      <c r="F12" s="43">
        <f t="shared" si="1"/>
        <v>151.52250144753</v>
      </c>
      <c r="G12" s="43">
        <f t="shared" si="1"/>
        <v>150.99711427117001</v>
      </c>
      <c r="H12" s="43">
        <f t="shared" si="1"/>
        <v>152.15727108812001</v>
      </c>
      <c r="I12" s="43">
        <f t="shared" si="1"/>
        <v>155.35277600814999</v>
      </c>
      <c r="J12" s="43">
        <f t="shared" si="1"/>
        <v>154.71663418818</v>
      </c>
      <c r="K12" s="43">
        <f t="shared" si="1"/>
        <v>155.71784785977002</v>
      </c>
      <c r="L12" s="43">
        <f t="shared" si="1"/>
        <v>155.39753595201</v>
      </c>
      <c r="M12" s="43">
        <f>SUM(M13:M14)</f>
        <v>159.77132908442999</v>
      </c>
      <c r="N12" s="43">
        <f t="shared" si="1"/>
        <v>166.05851744312</v>
      </c>
      <c r="O12" s="34"/>
    </row>
    <row r="13" spans="1:17" s="39" customFormat="1" outlineLevel="1" x14ac:dyDescent="0.3">
      <c r="A13" s="162" t="s">
        <v>57</v>
      </c>
      <c r="B13" s="160">
        <v>43.612207332799997</v>
      </c>
      <c r="C13" s="160">
        <v>44.103369133839998</v>
      </c>
      <c r="D13" s="160">
        <v>43.58765203606</v>
      </c>
      <c r="E13" s="160">
        <v>42.954295940889999</v>
      </c>
      <c r="F13" s="160">
        <v>43.148895382909998</v>
      </c>
      <c r="G13" s="160">
        <v>42.10230647321</v>
      </c>
      <c r="H13" s="160">
        <v>42.222611865109997</v>
      </c>
      <c r="I13" s="160">
        <v>42.427754671830002</v>
      </c>
      <c r="J13" s="160">
        <v>42.497394439499999</v>
      </c>
      <c r="K13" s="160">
        <v>43.632818339099998</v>
      </c>
      <c r="L13" s="160">
        <v>44.310181039870002</v>
      </c>
      <c r="M13" s="160">
        <v>45.066300409039997</v>
      </c>
      <c r="N13" s="161">
        <v>45.968971226080001</v>
      </c>
      <c r="O13" s="38"/>
    </row>
    <row r="14" spans="1:17" s="39" customFormat="1" outlineLevel="1" x14ac:dyDescent="0.3">
      <c r="A14" s="162" t="s">
        <v>95</v>
      </c>
      <c r="B14" s="160">
        <v>101.70866387616</v>
      </c>
      <c r="C14" s="160">
        <v>100.79700706685</v>
      </c>
      <c r="D14" s="160">
        <v>100.10254982156</v>
      </c>
      <c r="E14" s="160">
        <v>108.09548892356</v>
      </c>
      <c r="F14" s="160">
        <v>108.37360606462001</v>
      </c>
      <c r="G14" s="160">
        <v>108.89480779796</v>
      </c>
      <c r="H14" s="160">
        <v>109.93465922301</v>
      </c>
      <c r="I14" s="160">
        <v>112.92502133632</v>
      </c>
      <c r="J14" s="160">
        <v>112.21923974868</v>
      </c>
      <c r="K14" s="160">
        <v>112.08502952067001</v>
      </c>
      <c r="L14" s="160">
        <v>111.08735491214</v>
      </c>
      <c r="M14" s="160">
        <v>114.70502867539</v>
      </c>
      <c r="N14" s="161">
        <v>120.08954621704</v>
      </c>
      <c r="O14" s="38"/>
    </row>
    <row r="15" spans="1:17" x14ac:dyDescent="0.3">
      <c r="B15" s="25"/>
      <c r="C15" s="25"/>
      <c r="D15" s="25"/>
      <c r="E15" s="25"/>
      <c r="F15" s="25"/>
      <c r="G15" s="25"/>
      <c r="H15" s="25"/>
      <c r="I15" s="25"/>
      <c r="J15" s="25"/>
      <c r="K15" s="25"/>
      <c r="L15" s="25"/>
      <c r="M15" s="25"/>
      <c r="N15" s="25"/>
      <c r="O15" s="25"/>
    </row>
    <row r="16" spans="1:17" s="40" customFormat="1" x14ac:dyDescent="0.3">
      <c r="B16" s="41"/>
      <c r="C16" s="41"/>
      <c r="D16" s="41"/>
      <c r="E16" s="41"/>
      <c r="F16" s="41"/>
      <c r="G16" s="41"/>
      <c r="H16" s="41"/>
      <c r="I16" s="41"/>
      <c r="J16" s="41"/>
      <c r="K16" s="36"/>
      <c r="L16" s="41"/>
      <c r="M16" s="41"/>
      <c r="N16" s="36" t="s">
        <v>178</v>
      </c>
      <c r="O16" s="41"/>
    </row>
    <row r="17" spans="1:17" s="33" customFormat="1" x14ac:dyDescent="0.3">
      <c r="A17" s="55"/>
      <c r="B17" s="12">
        <v>45291</v>
      </c>
      <c r="C17" s="12">
        <v>45322</v>
      </c>
      <c r="D17" s="12">
        <v>45351</v>
      </c>
      <c r="E17" s="12">
        <v>45382</v>
      </c>
      <c r="F17" s="12">
        <v>45412</v>
      </c>
      <c r="G17" s="12">
        <v>45443</v>
      </c>
      <c r="H17" s="12">
        <v>45473</v>
      </c>
      <c r="I17" s="12">
        <v>45504</v>
      </c>
      <c r="J17" s="12">
        <v>45535</v>
      </c>
      <c r="K17" s="12">
        <v>45565</v>
      </c>
      <c r="L17" s="12">
        <v>45596</v>
      </c>
      <c r="M17" s="12">
        <v>45626</v>
      </c>
      <c r="N17" s="12">
        <v>45657</v>
      </c>
      <c r="O17" s="13"/>
      <c r="P17" s="13"/>
      <c r="Q17" s="13"/>
    </row>
    <row r="18" spans="1:17" s="35" customFormat="1" x14ac:dyDescent="0.3">
      <c r="A18" s="149" t="str">
        <f>DEBT_TOTAL</f>
        <v>Загальна сума державного та гарантованого державою боргу</v>
      </c>
      <c r="B18" s="43">
        <f t="shared" ref="B18:N18" si="2">SUM(B19:B20)</f>
        <v>1</v>
      </c>
      <c r="C18" s="43">
        <f t="shared" si="2"/>
        <v>1</v>
      </c>
      <c r="D18" s="43">
        <f t="shared" si="2"/>
        <v>1</v>
      </c>
      <c r="E18" s="43">
        <f t="shared" si="2"/>
        <v>1</v>
      </c>
      <c r="F18" s="43">
        <f t="shared" si="2"/>
        <v>1</v>
      </c>
      <c r="G18" s="43">
        <f t="shared" si="2"/>
        <v>1</v>
      </c>
      <c r="H18" s="43">
        <f t="shared" si="2"/>
        <v>1</v>
      </c>
      <c r="I18" s="43">
        <f t="shared" si="2"/>
        <v>1</v>
      </c>
      <c r="J18" s="43">
        <f t="shared" si="2"/>
        <v>1</v>
      </c>
      <c r="K18" s="43">
        <f t="shared" si="2"/>
        <v>1</v>
      </c>
      <c r="L18" s="43">
        <f t="shared" si="2"/>
        <v>1</v>
      </c>
      <c r="M18" s="43">
        <f>SUM(M19:M20)</f>
        <v>0.90692399999999995</v>
      </c>
      <c r="N18" s="43">
        <f t="shared" si="2"/>
        <v>1</v>
      </c>
      <c r="O18" s="34"/>
    </row>
    <row r="19" spans="1:17" s="39" customFormat="1" outlineLevel="1" x14ac:dyDescent="0.3">
      <c r="A19" s="162" t="s">
        <v>57</v>
      </c>
      <c r="B19" s="163">
        <v>0.30010999999999999</v>
      </c>
      <c r="C19" s="163">
        <v>0.30436999999999997</v>
      </c>
      <c r="D19" s="163">
        <v>0.30334499999999998</v>
      </c>
      <c r="E19" s="163">
        <v>0.28437200000000001</v>
      </c>
      <c r="F19" s="163">
        <v>0.28476899999999999</v>
      </c>
      <c r="G19" s="163">
        <v>0.27882899999999999</v>
      </c>
      <c r="H19" s="163">
        <v>0.27749299999999999</v>
      </c>
      <c r="I19" s="163">
        <v>0.27310600000000002</v>
      </c>
      <c r="J19" s="163">
        <v>0.27467900000000001</v>
      </c>
      <c r="K19" s="163">
        <v>0.28020400000000001</v>
      </c>
      <c r="L19" s="163">
        <v>0.28514099999999998</v>
      </c>
      <c r="M19" s="163">
        <v>0.27604099999999998</v>
      </c>
      <c r="N19" s="164">
        <v>0.27682400000000001</v>
      </c>
      <c r="O19" s="38"/>
    </row>
    <row r="20" spans="1:17" s="39" customFormat="1" outlineLevel="1" x14ac:dyDescent="0.3">
      <c r="A20" s="162" t="s">
        <v>95</v>
      </c>
      <c r="B20" s="163">
        <v>0.69989000000000001</v>
      </c>
      <c r="C20" s="163">
        <v>0.69562999999999997</v>
      </c>
      <c r="D20" s="163">
        <v>0.69665500000000002</v>
      </c>
      <c r="E20" s="163">
        <v>0.71562800000000004</v>
      </c>
      <c r="F20" s="163">
        <v>0.71523099999999995</v>
      </c>
      <c r="G20" s="163">
        <v>0.72117100000000001</v>
      </c>
      <c r="H20" s="163">
        <v>0.72250700000000001</v>
      </c>
      <c r="I20" s="163">
        <v>0.72689400000000004</v>
      </c>
      <c r="J20" s="163">
        <v>0.72532099999999999</v>
      </c>
      <c r="K20" s="163">
        <v>0.71979599999999999</v>
      </c>
      <c r="L20" s="163">
        <v>0.71485900000000002</v>
      </c>
      <c r="M20" s="163">
        <v>0.63088299999999997</v>
      </c>
      <c r="N20" s="164">
        <v>0.72317600000000004</v>
      </c>
      <c r="O20" s="38"/>
    </row>
    <row r="21" spans="1:17" x14ac:dyDescent="0.3">
      <c r="B21" s="25"/>
      <c r="C21" s="25"/>
      <c r="D21" s="25"/>
      <c r="E21" s="25"/>
      <c r="F21" s="25"/>
      <c r="G21" s="25"/>
      <c r="H21" s="25"/>
      <c r="I21" s="25"/>
      <c r="J21" s="25"/>
      <c r="K21" s="25"/>
      <c r="L21" s="25"/>
      <c r="M21" s="25"/>
      <c r="N21" s="25"/>
      <c r="O21" s="25"/>
    </row>
    <row r="22" spans="1:17" x14ac:dyDescent="0.3">
      <c r="B22" s="25"/>
      <c r="C22" s="25"/>
      <c r="D22" s="25"/>
      <c r="E22" s="25"/>
      <c r="F22" s="25"/>
      <c r="G22" s="25"/>
      <c r="H22" s="25"/>
      <c r="I22" s="25"/>
      <c r="J22" s="25"/>
      <c r="K22" s="25"/>
      <c r="L22" s="25"/>
      <c r="M22" s="25"/>
      <c r="N22" s="25"/>
      <c r="O22" s="25"/>
    </row>
    <row r="23" spans="1:17" x14ac:dyDescent="0.3">
      <c r="B23" s="25"/>
      <c r="C23" s="25"/>
      <c r="D23" s="25"/>
      <c r="E23" s="25"/>
      <c r="F23" s="25"/>
      <c r="G23" s="25"/>
      <c r="H23" s="25"/>
      <c r="I23" s="25"/>
      <c r="J23" s="25"/>
      <c r="K23" s="25"/>
      <c r="L23" s="25"/>
      <c r="M23" s="25"/>
      <c r="N23" s="25"/>
      <c r="O23" s="25"/>
    </row>
    <row r="24" spans="1:17" x14ac:dyDescent="0.3">
      <c r="B24" s="25"/>
      <c r="C24" s="25"/>
      <c r="D24" s="25"/>
      <c r="E24" s="25"/>
      <c r="F24" s="25"/>
      <c r="G24" s="25"/>
      <c r="H24" s="25"/>
      <c r="I24" s="25"/>
      <c r="J24" s="25"/>
      <c r="K24" s="25"/>
      <c r="L24" s="25"/>
      <c r="M24" s="25"/>
      <c r="N24" s="25"/>
      <c r="O24" s="25"/>
    </row>
    <row r="25" spans="1:17" s="40" customFormat="1" x14ac:dyDescent="0.3">
      <c r="B25" s="41"/>
      <c r="C25" s="41"/>
      <c r="D25" s="41"/>
      <c r="E25" s="41"/>
      <c r="F25" s="41"/>
      <c r="G25" s="41"/>
      <c r="H25" s="41"/>
      <c r="I25" s="41"/>
      <c r="J25" s="41"/>
      <c r="K25" s="41"/>
      <c r="L25" s="41"/>
      <c r="M25" s="41"/>
      <c r="N25" s="41"/>
      <c r="O25" s="41"/>
    </row>
    <row r="26" spans="1:17" x14ac:dyDescent="0.3">
      <c r="B26" s="25"/>
      <c r="C26" s="25"/>
      <c r="D26" s="25"/>
      <c r="E26" s="25"/>
      <c r="F26" s="25"/>
      <c r="G26" s="25"/>
      <c r="H26" s="25"/>
      <c r="I26" s="25"/>
      <c r="J26" s="25"/>
      <c r="K26" s="25"/>
      <c r="L26" s="25"/>
      <c r="M26" s="25"/>
      <c r="N26" s="25"/>
      <c r="O26" s="25"/>
    </row>
    <row r="27" spans="1:17" x14ac:dyDescent="0.3">
      <c r="B27" s="25"/>
      <c r="C27" s="25"/>
      <c r="D27" s="25"/>
      <c r="E27" s="25"/>
      <c r="F27" s="25"/>
      <c r="G27" s="25"/>
      <c r="H27" s="25"/>
      <c r="I27" s="25"/>
      <c r="J27" s="25"/>
      <c r="K27" s="25"/>
      <c r="L27" s="25"/>
      <c r="M27" s="25"/>
      <c r="N27" s="25"/>
      <c r="O27" s="25"/>
    </row>
    <row r="28" spans="1:17" x14ac:dyDescent="0.3">
      <c r="B28" s="25"/>
      <c r="C28" s="25"/>
      <c r="D28" s="25"/>
      <c r="E28" s="25"/>
      <c r="F28" s="25"/>
      <c r="G28" s="25"/>
      <c r="H28" s="25"/>
      <c r="I28" s="25"/>
      <c r="J28" s="25"/>
      <c r="K28" s="25"/>
      <c r="L28" s="25"/>
      <c r="M28" s="25"/>
      <c r="N28" s="25"/>
      <c r="O28" s="25"/>
    </row>
    <row r="29" spans="1:17" x14ac:dyDescent="0.3">
      <c r="B29" s="25"/>
      <c r="C29" s="25"/>
      <c r="D29" s="25"/>
      <c r="E29" s="25"/>
      <c r="F29" s="25"/>
      <c r="G29" s="25"/>
      <c r="H29" s="25"/>
      <c r="I29" s="25"/>
      <c r="J29" s="25"/>
      <c r="K29" s="25"/>
      <c r="L29" s="25"/>
      <c r="M29" s="25"/>
      <c r="N29" s="25"/>
      <c r="O29" s="25"/>
    </row>
    <row r="30" spans="1:17" x14ac:dyDescent="0.3">
      <c r="B30" s="25"/>
      <c r="C30" s="25"/>
      <c r="D30" s="25"/>
      <c r="E30" s="25"/>
      <c r="F30" s="25"/>
      <c r="G30" s="25"/>
      <c r="H30" s="25"/>
      <c r="I30" s="25"/>
      <c r="J30" s="25"/>
      <c r="K30" s="25"/>
      <c r="L30" s="25"/>
      <c r="M30" s="25"/>
      <c r="N30" s="25"/>
      <c r="O30" s="25"/>
    </row>
    <row r="31" spans="1:17" x14ac:dyDescent="0.3">
      <c r="B31" s="25"/>
      <c r="C31" s="25"/>
      <c r="D31" s="25"/>
      <c r="E31" s="25"/>
      <c r="F31" s="25"/>
      <c r="G31" s="25"/>
      <c r="H31" s="25"/>
      <c r="I31" s="25"/>
      <c r="J31" s="25"/>
      <c r="K31" s="25"/>
      <c r="L31" s="25"/>
      <c r="M31" s="25"/>
      <c r="N31" s="25"/>
      <c r="O31" s="25"/>
    </row>
    <row r="32" spans="1:17" x14ac:dyDescent="0.3">
      <c r="B32" s="25"/>
      <c r="C32" s="25"/>
      <c r="D32" s="25"/>
      <c r="E32" s="25"/>
      <c r="F32" s="25"/>
      <c r="G32" s="25"/>
      <c r="H32" s="25"/>
      <c r="I32" s="25"/>
      <c r="J32" s="25"/>
      <c r="K32" s="25"/>
      <c r="L32" s="25"/>
      <c r="M32" s="25"/>
      <c r="N32" s="25"/>
      <c r="O32" s="25"/>
    </row>
    <row r="33" spans="2:15" x14ac:dyDescent="0.3">
      <c r="B33" s="25"/>
      <c r="C33" s="25"/>
      <c r="D33" s="25"/>
      <c r="E33" s="25"/>
      <c r="F33" s="25"/>
      <c r="G33" s="25"/>
      <c r="H33" s="25"/>
      <c r="I33" s="25"/>
      <c r="J33" s="25"/>
      <c r="K33" s="25"/>
      <c r="L33" s="25"/>
      <c r="M33" s="25"/>
      <c r="N33" s="25"/>
      <c r="O33" s="25"/>
    </row>
    <row r="34" spans="2:15" x14ac:dyDescent="0.3">
      <c r="B34" s="25"/>
      <c r="C34" s="25"/>
      <c r="D34" s="25"/>
      <c r="E34" s="25"/>
      <c r="F34" s="25"/>
      <c r="G34" s="25"/>
      <c r="H34" s="25"/>
      <c r="I34" s="25"/>
      <c r="J34" s="25"/>
      <c r="K34" s="25"/>
      <c r="L34" s="25"/>
      <c r="M34" s="25"/>
      <c r="N34" s="25"/>
      <c r="O34" s="25"/>
    </row>
    <row r="35" spans="2:15" x14ac:dyDescent="0.3">
      <c r="B35" s="25"/>
      <c r="C35" s="25"/>
      <c r="D35" s="25"/>
      <c r="E35" s="25"/>
      <c r="F35" s="25"/>
      <c r="G35" s="25"/>
      <c r="H35" s="25"/>
      <c r="I35" s="25"/>
      <c r="J35" s="25"/>
      <c r="K35" s="25"/>
      <c r="L35" s="25"/>
      <c r="M35" s="25"/>
      <c r="N35" s="25"/>
      <c r="O35" s="25"/>
    </row>
    <row r="36" spans="2:15" x14ac:dyDescent="0.3">
      <c r="B36" s="25"/>
      <c r="C36" s="25"/>
      <c r="D36" s="25"/>
      <c r="E36" s="25"/>
      <c r="F36" s="25"/>
      <c r="G36" s="25"/>
      <c r="H36" s="25"/>
      <c r="I36" s="25"/>
      <c r="J36" s="25"/>
      <c r="K36" s="25"/>
      <c r="L36" s="25"/>
      <c r="M36" s="25"/>
      <c r="N36" s="25"/>
      <c r="O36" s="25"/>
    </row>
    <row r="37" spans="2:15" x14ac:dyDescent="0.3">
      <c r="B37" s="25"/>
      <c r="C37" s="25"/>
      <c r="D37" s="25"/>
      <c r="E37" s="25"/>
      <c r="F37" s="25"/>
      <c r="G37" s="25"/>
      <c r="H37" s="25"/>
      <c r="I37" s="25"/>
      <c r="J37" s="25"/>
      <c r="K37" s="25"/>
      <c r="L37" s="25"/>
      <c r="M37" s="25"/>
      <c r="N37" s="25"/>
      <c r="O37" s="25"/>
    </row>
    <row r="38" spans="2:15" x14ac:dyDescent="0.3">
      <c r="B38" s="25"/>
      <c r="C38" s="25"/>
      <c r="D38" s="25"/>
      <c r="E38" s="25"/>
      <c r="F38" s="25"/>
      <c r="G38" s="25"/>
      <c r="H38" s="25"/>
      <c r="I38" s="25"/>
      <c r="J38" s="25"/>
      <c r="K38" s="25"/>
      <c r="L38" s="25"/>
      <c r="M38" s="25"/>
      <c r="N38" s="25"/>
      <c r="O38" s="25"/>
    </row>
    <row r="39" spans="2:15" x14ac:dyDescent="0.3">
      <c r="B39" s="25"/>
      <c r="C39" s="25"/>
      <c r="D39" s="25"/>
      <c r="E39" s="25"/>
      <c r="F39" s="25"/>
      <c r="G39" s="25"/>
      <c r="H39" s="25"/>
      <c r="I39" s="25"/>
      <c r="J39" s="25"/>
      <c r="K39" s="25"/>
      <c r="L39" s="25"/>
      <c r="M39" s="25"/>
      <c r="N39" s="25"/>
      <c r="O39" s="25"/>
    </row>
    <row r="40" spans="2:15" x14ac:dyDescent="0.3">
      <c r="B40" s="25"/>
      <c r="C40" s="25"/>
      <c r="D40" s="25"/>
      <c r="E40" s="25"/>
      <c r="F40" s="25"/>
      <c r="G40" s="25"/>
      <c r="H40" s="25"/>
      <c r="I40" s="25"/>
      <c r="J40" s="25"/>
      <c r="K40" s="25"/>
      <c r="L40" s="25"/>
      <c r="M40" s="25"/>
      <c r="N40" s="25"/>
      <c r="O40" s="25"/>
    </row>
    <row r="41" spans="2:15" x14ac:dyDescent="0.3">
      <c r="B41" s="25"/>
      <c r="C41" s="25"/>
      <c r="D41" s="25"/>
      <c r="E41" s="25"/>
      <c r="F41" s="25"/>
      <c r="G41" s="25"/>
      <c r="H41" s="25"/>
      <c r="I41" s="25"/>
      <c r="J41" s="25"/>
      <c r="K41" s="25"/>
      <c r="L41" s="25"/>
      <c r="M41" s="25"/>
      <c r="N41" s="25"/>
      <c r="O41" s="25"/>
    </row>
    <row r="42" spans="2:15" x14ac:dyDescent="0.3">
      <c r="B42" s="25"/>
      <c r="C42" s="25"/>
      <c r="D42" s="25"/>
      <c r="E42" s="25"/>
      <c r="F42" s="25"/>
      <c r="G42" s="25"/>
      <c r="H42" s="25"/>
      <c r="I42" s="25"/>
      <c r="J42" s="25"/>
      <c r="K42" s="25"/>
      <c r="L42" s="25"/>
      <c r="M42" s="25"/>
      <c r="N42" s="25"/>
      <c r="O42" s="25"/>
    </row>
    <row r="43" spans="2:15" x14ac:dyDescent="0.3">
      <c r="B43" s="25"/>
      <c r="C43" s="25"/>
      <c r="D43" s="25"/>
      <c r="E43" s="25"/>
      <c r="F43" s="25"/>
      <c r="G43" s="25"/>
      <c r="H43" s="25"/>
      <c r="I43" s="25"/>
      <c r="J43" s="25"/>
      <c r="K43" s="25"/>
      <c r="L43" s="25"/>
      <c r="M43" s="25"/>
      <c r="N43" s="25"/>
      <c r="O43" s="25"/>
    </row>
    <row r="44" spans="2:15" x14ac:dyDescent="0.3">
      <c r="B44" s="25"/>
      <c r="C44" s="25"/>
      <c r="D44" s="25"/>
      <c r="E44" s="25"/>
      <c r="F44" s="25"/>
      <c r="G44" s="25"/>
      <c r="H44" s="25"/>
      <c r="I44" s="25"/>
      <c r="J44" s="25"/>
      <c r="K44" s="25"/>
      <c r="L44" s="25"/>
      <c r="M44" s="25"/>
      <c r="N44" s="25"/>
      <c r="O44" s="25"/>
    </row>
    <row r="45" spans="2:15" x14ac:dyDescent="0.3">
      <c r="B45" s="25"/>
      <c r="C45" s="25"/>
      <c r="D45" s="25"/>
      <c r="E45" s="25"/>
      <c r="F45" s="25"/>
      <c r="G45" s="25"/>
      <c r="H45" s="25"/>
      <c r="I45" s="25"/>
      <c r="J45" s="25"/>
      <c r="K45" s="25"/>
      <c r="L45" s="25"/>
      <c r="M45" s="25"/>
      <c r="N45" s="25"/>
      <c r="O45" s="25"/>
    </row>
    <row r="46" spans="2:15" x14ac:dyDescent="0.3">
      <c r="B46" s="25"/>
      <c r="C46" s="25"/>
      <c r="D46" s="25"/>
      <c r="E46" s="25"/>
      <c r="F46" s="25"/>
      <c r="G46" s="25"/>
      <c r="H46" s="25"/>
      <c r="I46" s="25"/>
      <c r="J46" s="25"/>
      <c r="K46" s="25"/>
      <c r="L46" s="25"/>
      <c r="M46" s="25"/>
      <c r="N46" s="25"/>
      <c r="O46" s="25"/>
    </row>
    <row r="47" spans="2:15" x14ac:dyDescent="0.3">
      <c r="B47" s="25"/>
      <c r="C47" s="25"/>
      <c r="D47" s="25"/>
      <c r="E47" s="25"/>
      <c r="F47" s="25"/>
      <c r="G47" s="25"/>
      <c r="H47" s="25"/>
      <c r="I47" s="25"/>
      <c r="J47" s="25"/>
      <c r="K47" s="25"/>
      <c r="L47" s="25"/>
      <c r="M47" s="25"/>
      <c r="N47" s="25"/>
      <c r="O47" s="25"/>
    </row>
    <row r="48" spans="2:15" x14ac:dyDescent="0.3">
      <c r="B48" s="25"/>
      <c r="C48" s="25"/>
      <c r="D48" s="25"/>
      <c r="E48" s="25"/>
      <c r="F48" s="25"/>
      <c r="G48" s="25"/>
      <c r="H48" s="25"/>
      <c r="I48" s="25"/>
      <c r="J48" s="25"/>
      <c r="K48" s="25"/>
      <c r="L48" s="25"/>
      <c r="M48" s="25"/>
      <c r="N48" s="25"/>
      <c r="O48" s="25"/>
    </row>
    <row r="49" spans="2:15" x14ac:dyDescent="0.3">
      <c r="B49" s="25"/>
      <c r="C49" s="25"/>
      <c r="D49" s="25"/>
      <c r="E49" s="25"/>
      <c r="F49" s="25"/>
      <c r="G49" s="25"/>
      <c r="H49" s="25"/>
      <c r="I49" s="25"/>
      <c r="J49" s="25"/>
      <c r="K49" s="25"/>
      <c r="L49" s="25"/>
      <c r="M49" s="25"/>
      <c r="N49" s="25"/>
      <c r="O49" s="25"/>
    </row>
    <row r="50" spans="2:15" x14ac:dyDescent="0.3">
      <c r="B50" s="25"/>
      <c r="C50" s="25"/>
      <c r="D50" s="25"/>
      <c r="E50" s="25"/>
      <c r="F50" s="25"/>
      <c r="G50" s="25"/>
      <c r="H50" s="25"/>
      <c r="I50" s="25"/>
      <c r="J50" s="25"/>
      <c r="K50" s="25"/>
      <c r="L50" s="25"/>
      <c r="M50" s="25"/>
      <c r="N50" s="25"/>
      <c r="O50" s="25"/>
    </row>
    <row r="51" spans="2:15" x14ac:dyDescent="0.3">
      <c r="B51" s="25"/>
      <c r="C51" s="25"/>
      <c r="D51" s="25"/>
      <c r="E51" s="25"/>
      <c r="F51" s="25"/>
      <c r="G51" s="25"/>
      <c r="H51" s="25"/>
      <c r="I51" s="25"/>
      <c r="J51" s="25"/>
      <c r="K51" s="25"/>
      <c r="L51" s="25"/>
      <c r="M51" s="25"/>
      <c r="N51" s="25"/>
      <c r="O51" s="25"/>
    </row>
    <row r="52" spans="2:15" x14ac:dyDescent="0.3">
      <c r="B52" s="25"/>
      <c r="C52" s="25"/>
      <c r="D52" s="25"/>
      <c r="E52" s="25"/>
      <c r="F52" s="25"/>
      <c r="G52" s="25"/>
      <c r="H52" s="25"/>
      <c r="I52" s="25"/>
      <c r="J52" s="25"/>
      <c r="K52" s="25"/>
      <c r="L52" s="25"/>
      <c r="M52" s="25"/>
      <c r="N52" s="25"/>
      <c r="O52" s="25"/>
    </row>
    <row r="53" spans="2:15" x14ac:dyDescent="0.3">
      <c r="B53" s="25"/>
      <c r="C53" s="25"/>
      <c r="D53" s="25"/>
      <c r="E53" s="25"/>
      <c r="F53" s="25"/>
      <c r="G53" s="25"/>
      <c r="H53" s="25"/>
      <c r="I53" s="25"/>
      <c r="J53" s="25"/>
      <c r="K53" s="25"/>
      <c r="L53" s="25"/>
      <c r="M53" s="25"/>
      <c r="N53" s="25"/>
      <c r="O53" s="25"/>
    </row>
    <row r="54" spans="2:15" x14ac:dyDescent="0.3">
      <c r="B54" s="25"/>
      <c r="C54" s="25"/>
      <c r="D54" s="25"/>
      <c r="E54" s="25"/>
      <c r="F54" s="25"/>
      <c r="G54" s="25"/>
      <c r="H54" s="25"/>
      <c r="I54" s="25"/>
      <c r="J54" s="25"/>
      <c r="K54" s="25"/>
      <c r="L54" s="25"/>
      <c r="M54" s="25"/>
      <c r="N54" s="25"/>
      <c r="O54" s="25"/>
    </row>
    <row r="55" spans="2:15" x14ac:dyDescent="0.3">
      <c r="B55" s="25"/>
      <c r="C55" s="25"/>
      <c r="D55" s="25"/>
      <c r="E55" s="25"/>
      <c r="F55" s="25"/>
      <c r="G55" s="25"/>
      <c r="H55" s="25"/>
      <c r="I55" s="25"/>
      <c r="J55" s="25"/>
      <c r="K55" s="25"/>
      <c r="L55" s="25"/>
      <c r="M55" s="25"/>
      <c r="N55" s="25"/>
      <c r="O55" s="25"/>
    </row>
    <row r="56" spans="2:15" x14ac:dyDescent="0.3">
      <c r="B56" s="25"/>
      <c r="C56" s="25"/>
      <c r="D56" s="25"/>
      <c r="E56" s="25"/>
      <c r="F56" s="25"/>
      <c r="G56" s="25"/>
      <c r="H56" s="25"/>
      <c r="I56" s="25"/>
      <c r="J56" s="25"/>
      <c r="K56" s="25"/>
      <c r="L56" s="25"/>
      <c r="M56" s="25"/>
      <c r="N56" s="25"/>
      <c r="O56" s="25"/>
    </row>
    <row r="57" spans="2:15" x14ac:dyDescent="0.3">
      <c r="B57" s="25"/>
      <c r="C57" s="25"/>
      <c r="D57" s="25"/>
      <c r="E57" s="25"/>
      <c r="F57" s="25"/>
      <c r="G57" s="25"/>
      <c r="H57" s="25"/>
      <c r="I57" s="25"/>
      <c r="J57" s="25"/>
      <c r="K57" s="25"/>
      <c r="L57" s="25"/>
      <c r="M57" s="25"/>
      <c r="N57" s="25"/>
      <c r="O57" s="25"/>
    </row>
    <row r="58" spans="2:15" x14ac:dyDescent="0.3">
      <c r="B58" s="25"/>
      <c r="C58" s="25"/>
      <c r="D58" s="25"/>
      <c r="E58" s="25"/>
      <c r="F58" s="25"/>
      <c r="G58" s="25"/>
      <c r="H58" s="25"/>
      <c r="I58" s="25"/>
      <c r="J58" s="25"/>
      <c r="K58" s="25"/>
      <c r="L58" s="25"/>
      <c r="M58" s="25"/>
      <c r="N58" s="25"/>
      <c r="O58" s="25"/>
    </row>
    <row r="59" spans="2:15" x14ac:dyDescent="0.3">
      <c r="B59" s="25"/>
      <c r="C59" s="25"/>
      <c r="D59" s="25"/>
      <c r="E59" s="25"/>
      <c r="F59" s="25"/>
      <c r="G59" s="25"/>
      <c r="H59" s="25"/>
      <c r="I59" s="25"/>
      <c r="J59" s="25"/>
      <c r="K59" s="25"/>
      <c r="L59" s="25"/>
      <c r="M59" s="25"/>
      <c r="N59" s="25"/>
      <c r="O59" s="25"/>
    </row>
    <row r="60" spans="2:15" x14ac:dyDescent="0.3">
      <c r="B60" s="25"/>
      <c r="C60" s="25"/>
      <c r="D60" s="25"/>
      <c r="E60" s="25"/>
      <c r="F60" s="25"/>
      <c r="G60" s="25"/>
      <c r="H60" s="25"/>
      <c r="I60" s="25"/>
      <c r="J60" s="25"/>
      <c r="K60" s="25"/>
      <c r="L60" s="25"/>
      <c r="M60" s="25"/>
      <c r="N60" s="25"/>
      <c r="O60" s="25"/>
    </row>
    <row r="61" spans="2:15" x14ac:dyDescent="0.3">
      <c r="B61" s="25"/>
      <c r="C61" s="25"/>
      <c r="D61" s="25"/>
      <c r="E61" s="25"/>
      <c r="F61" s="25"/>
      <c r="G61" s="25"/>
      <c r="H61" s="25"/>
      <c r="I61" s="25"/>
      <c r="J61" s="25"/>
      <c r="K61" s="25"/>
      <c r="L61" s="25"/>
      <c r="M61" s="25"/>
      <c r="N61" s="25"/>
      <c r="O61" s="25"/>
    </row>
    <row r="62" spans="2:15" x14ac:dyDescent="0.3">
      <c r="B62" s="25"/>
      <c r="C62" s="25"/>
      <c r="D62" s="25"/>
      <c r="E62" s="25"/>
      <c r="F62" s="25"/>
      <c r="G62" s="25"/>
      <c r="H62" s="25"/>
      <c r="I62" s="25"/>
      <c r="J62" s="25"/>
      <c r="K62" s="25"/>
      <c r="L62" s="25"/>
      <c r="M62" s="25"/>
      <c r="N62" s="25"/>
      <c r="O62" s="25"/>
    </row>
    <row r="63" spans="2:15" x14ac:dyDescent="0.3">
      <c r="B63" s="25"/>
      <c r="C63" s="25"/>
      <c r="D63" s="25"/>
      <c r="E63" s="25"/>
      <c r="F63" s="25"/>
      <c r="G63" s="25"/>
      <c r="H63" s="25"/>
      <c r="I63" s="25"/>
      <c r="J63" s="25"/>
      <c r="K63" s="25"/>
      <c r="L63" s="25"/>
      <c r="M63" s="25"/>
      <c r="N63" s="25"/>
      <c r="O63" s="25"/>
    </row>
    <row r="64" spans="2:15" x14ac:dyDescent="0.3">
      <c r="B64" s="25"/>
      <c r="C64" s="25"/>
      <c r="D64" s="25"/>
      <c r="E64" s="25"/>
      <c r="F64" s="25"/>
      <c r="G64" s="25"/>
      <c r="H64" s="25"/>
      <c r="I64" s="25"/>
      <c r="J64" s="25"/>
      <c r="K64" s="25"/>
      <c r="L64" s="25"/>
      <c r="M64" s="25"/>
      <c r="N64" s="25"/>
      <c r="O64" s="25"/>
    </row>
    <row r="65" spans="2:15" x14ac:dyDescent="0.3">
      <c r="B65" s="25"/>
      <c r="C65" s="25"/>
      <c r="D65" s="25"/>
      <c r="E65" s="25"/>
      <c r="F65" s="25"/>
      <c r="G65" s="25"/>
      <c r="H65" s="25"/>
      <c r="I65" s="25"/>
      <c r="J65" s="25"/>
      <c r="K65" s="25"/>
      <c r="L65" s="25"/>
      <c r="M65" s="25"/>
      <c r="N65" s="25"/>
      <c r="O65" s="25"/>
    </row>
    <row r="66" spans="2:15" x14ac:dyDescent="0.3">
      <c r="B66" s="25"/>
      <c r="C66" s="25"/>
      <c r="D66" s="25"/>
      <c r="E66" s="25"/>
      <c r="F66" s="25"/>
      <c r="G66" s="25"/>
      <c r="H66" s="25"/>
      <c r="I66" s="25"/>
      <c r="J66" s="25"/>
      <c r="K66" s="25"/>
      <c r="L66" s="25"/>
      <c r="M66" s="25"/>
      <c r="N66" s="25"/>
      <c r="O66" s="25"/>
    </row>
    <row r="67" spans="2:15" x14ac:dyDescent="0.3">
      <c r="B67" s="25"/>
      <c r="C67" s="25"/>
      <c r="D67" s="25"/>
      <c r="E67" s="25"/>
      <c r="F67" s="25"/>
      <c r="G67" s="25"/>
      <c r="H67" s="25"/>
      <c r="I67" s="25"/>
      <c r="J67" s="25"/>
      <c r="K67" s="25"/>
      <c r="L67" s="25"/>
      <c r="M67" s="25"/>
      <c r="N67" s="25"/>
      <c r="O67" s="25"/>
    </row>
    <row r="68" spans="2:15" x14ac:dyDescent="0.3">
      <c r="B68" s="25"/>
      <c r="C68" s="25"/>
      <c r="D68" s="25"/>
      <c r="E68" s="25"/>
      <c r="F68" s="25"/>
      <c r="G68" s="25"/>
      <c r="H68" s="25"/>
      <c r="I68" s="25"/>
      <c r="J68" s="25"/>
      <c r="K68" s="25"/>
      <c r="L68" s="25"/>
      <c r="M68" s="25"/>
      <c r="N68" s="25"/>
      <c r="O68" s="25"/>
    </row>
    <row r="69" spans="2:15" x14ac:dyDescent="0.3">
      <c r="B69" s="25"/>
      <c r="C69" s="25"/>
      <c r="D69" s="25"/>
      <c r="E69" s="25"/>
      <c r="F69" s="25"/>
      <c r="G69" s="25"/>
      <c r="H69" s="25"/>
      <c r="I69" s="25"/>
      <c r="J69" s="25"/>
      <c r="K69" s="25"/>
      <c r="L69" s="25"/>
      <c r="M69" s="25"/>
      <c r="N69" s="25"/>
      <c r="O69" s="25"/>
    </row>
    <row r="70" spans="2:15" x14ac:dyDescent="0.3">
      <c r="B70" s="25"/>
      <c r="C70" s="25"/>
      <c r="D70" s="25"/>
      <c r="E70" s="25"/>
      <c r="F70" s="25"/>
      <c r="G70" s="25"/>
      <c r="H70" s="25"/>
      <c r="I70" s="25"/>
      <c r="J70" s="25"/>
      <c r="K70" s="25"/>
      <c r="L70" s="25"/>
      <c r="M70" s="25"/>
      <c r="N70" s="25"/>
      <c r="O70" s="25"/>
    </row>
    <row r="71" spans="2:15" x14ac:dyDescent="0.3">
      <c r="B71" s="25"/>
      <c r="C71" s="25"/>
      <c r="D71" s="25"/>
      <c r="E71" s="25"/>
      <c r="F71" s="25"/>
      <c r="G71" s="25"/>
      <c r="H71" s="25"/>
      <c r="I71" s="25"/>
      <c r="J71" s="25"/>
      <c r="K71" s="25"/>
      <c r="L71" s="25"/>
      <c r="M71" s="25"/>
      <c r="N71" s="25"/>
      <c r="O71" s="25"/>
    </row>
    <row r="72" spans="2:15" x14ac:dyDescent="0.3">
      <c r="B72" s="25"/>
      <c r="C72" s="25"/>
      <c r="D72" s="25"/>
      <c r="E72" s="25"/>
      <c r="F72" s="25"/>
      <c r="G72" s="25"/>
      <c r="H72" s="25"/>
      <c r="I72" s="25"/>
      <c r="J72" s="25"/>
      <c r="K72" s="25"/>
      <c r="L72" s="25"/>
      <c r="M72" s="25"/>
      <c r="N72" s="25"/>
      <c r="O72" s="25"/>
    </row>
    <row r="73" spans="2:15" x14ac:dyDescent="0.3">
      <c r="B73" s="25"/>
      <c r="C73" s="25"/>
      <c r="D73" s="25"/>
      <c r="E73" s="25"/>
      <c r="F73" s="25"/>
      <c r="G73" s="25"/>
      <c r="H73" s="25"/>
      <c r="I73" s="25"/>
      <c r="J73" s="25"/>
      <c r="K73" s="25"/>
      <c r="L73" s="25"/>
      <c r="M73" s="25"/>
      <c r="N73" s="25"/>
      <c r="O73" s="25"/>
    </row>
    <row r="74" spans="2:15" x14ac:dyDescent="0.3">
      <c r="B74" s="25"/>
      <c r="C74" s="25"/>
      <c r="D74" s="25"/>
      <c r="E74" s="25"/>
      <c r="F74" s="25"/>
      <c r="G74" s="25"/>
      <c r="H74" s="25"/>
      <c r="I74" s="25"/>
      <c r="J74" s="25"/>
      <c r="K74" s="25"/>
      <c r="L74" s="25"/>
      <c r="M74" s="25"/>
      <c r="N74" s="25"/>
      <c r="O74" s="25"/>
    </row>
    <row r="75" spans="2:15" x14ac:dyDescent="0.3">
      <c r="B75" s="25"/>
      <c r="C75" s="25"/>
      <c r="D75" s="25"/>
      <c r="E75" s="25"/>
      <c r="F75" s="25"/>
      <c r="G75" s="25"/>
      <c r="H75" s="25"/>
      <c r="I75" s="25"/>
      <c r="J75" s="25"/>
      <c r="K75" s="25"/>
      <c r="L75" s="25"/>
      <c r="M75" s="25"/>
      <c r="N75" s="25"/>
      <c r="O75" s="25"/>
    </row>
    <row r="76" spans="2:15" x14ac:dyDescent="0.3">
      <c r="B76" s="25"/>
      <c r="C76" s="25"/>
      <c r="D76" s="25"/>
      <c r="E76" s="25"/>
      <c r="F76" s="25"/>
      <c r="G76" s="25"/>
      <c r="H76" s="25"/>
      <c r="I76" s="25"/>
      <c r="J76" s="25"/>
      <c r="K76" s="25"/>
      <c r="L76" s="25"/>
      <c r="M76" s="25"/>
      <c r="N76" s="25"/>
      <c r="O76" s="25"/>
    </row>
    <row r="77" spans="2:15" x14ac:dyDescent="0.3">
      <c r="B77" s="25"/>
      <c r="C77" s="25"/>
      <c r="D77" s="25"/>
      <c r="E77" s="25"/>
      <c r="F77" s="25"/>
      <c r="G77" s="25"/>
      <c r="H77" s="25"/>
      <c r="I77" s="25"/>
      <c r="J77" s="25"/>
      <c r="K77" s="25"/>
      <c r="L77" s="25"/>
      <c r="M77" s="25"/>
      <c r="N77" s="25"/>
      <c r="O77" s="25"/>
    </row>
    <row r="78" spans="2:15" x14ac:dyDescent="0.3">
      <c r="B78" s="25"/>
      <c r="C78" s="25"/>
      <c r="D78" s="25"/>
      <c r="E78" s="25"/>
      <c r="F78" s="25"/>
      <c r="G78" s="25"/>
      <c r="H78" s="25"/>
      <c r="I78" s="25"/>
      <c r="J78" s="25"/>
      <c r="K78" s="25"/>
      <c r="L78" s="25"/>
      <c r="M78" s="25"/>
      <c r="N78" s="25"/>
      <c r="O78" s="25"/>
    </row>
    <row r="79" spans="2:15" x14ac:dyDescent="0.3">
      <c r="B79" s="25"/>
      <c r="C79" s="25"/>
      <c r="D79" s="25"/>
      <c r="E79" s="25"/>
      <c r="F79" s="25"/>
      <c r="G79" s="25"/>
      <c r="H79" s="25"/>
      <c r="I79" s="25"/>
      <c r="J79" s="25"/>
      <c r="K79" s="25"/>
      <c r="L79" s="25"/>
      <c r="M79" s="25"/>
      <c r="N79" s="25"/>
      <c r="O79" s="25"/>
    </row>
    <row r="80" spans="2:15" x14ac:dyDescent="0.3">
      <c r="B80" s="25"/>
      <c r="C80" s="25"/>
      <c r="D80" s="25"/>
      <c r="E80" s="25"/>
      <c r="F80" s="25"/>
      <c r="G80" s="25"/>
      <c r="H80" s="25"/>
      <c r="I80" s="25"/>
      <c r="J80" s="25"/>
      <c r="K80" s="25"/>
      <c r="L80" s="25"/>
      <c r="M80" s="25"/>
      <c r="N80" s="25"/>
      <c r="O80" s="25"/>
    </row>
    <row r="81" spans="2:15" x14ac:dyDescent="0.3">
      <c r="B81" s="25"/>
      <c r="C81" s="25"/>
      <c r="D81" s="25"/>
      <c r="E81" s="25"/>
      <c r="F81" s="25"/>
      <c r="G81" s="25"/>
      <c r="H81" s="25"/>
      <c r="I81" s="25"/>
      <c r="J81" s="25"/>
      <c r="K81" s="25"/>
      <c r="L81" s="25"/>
      <c r="M81" s="25"/>
      <c r="N81" s="25"/>
      <c r="O81" s="25"/>
    </row>
    <row r="82" spans="2:15" x14ac:dyDescent="0.3">
      <c r="B82" s="25"/>
      <c r="C82" s="25"/>
      <c r="D82" s="25"/>
      <c r="E82" s="25"/>
      <c r="F82" s="25"/>
      <c r="G82" s="25"/>
      <c r="H82" s="25"/>
      <c r="I82" s="25"/>
      <c r="J82" s="25"/>
      <c r="K82" s="25"/>
      <c r="L82" s="25"/>
      <c r="M82" s="25"/>
      <c r="N82" s="25"/>
      <c r="O82" s="25"/>
    </row>
    <row r="83" spans="2:15" x14ac:dyDescent="0.3">
      <c r="B83" s="25"/>
      <c r="C83" s="25"/>
      <c r="D83" s="25"/>
      <c r="E83" s="25"/>
      <c r="F83" s="25"/>
      <c r="G83" s="25"/>
      <c r="H83" s="25"/>
      <c r="I83" s="25"/>
      <c r="J83" s="25"/>
      <c r="K83" s="25"/>
      <c r="L83" s="25"/>
      <c r="M83" s="25"/>
      <c r="N83" s="25"/>
      <c r="O83" s="25"/>
    </row>
    <row r="84" spans="2:15" x14ac:dyDescent="0.3">
      <c r="B84" s="25"/>
      <c r="C84" s="25"/>
      <c r="D84" s="25"/>
      <c r="E84" s="25"/>
      <c r="F84" s="25"/>
      <c r="G84" s="25"/>
      <c r="H84" s="25"/>
      <c r="I84" s="25"/>
      <c r="J84" s="25"/>
      <c r="K84" s="25"/>
      <c r="L84" s="25"/>
      <c r="M84" s="25"/>
      <c r="N84" s="25"/>
      <c r="O84" s="25"/>
    </row>
    <row r="85" spans="2:15" x14ac:dyDescent="0.3">
      <c r="B85" s="25"/>
      <c r="C85" s="25"/>
      <c r="D85" s="25"/>
      <c r="E85" s="25"/>
      <c r="F85" s="25"/>
      <c r="G85" s="25"/>
      <c r="H85" s="25"/>
      <c r="I85" s="25"/>
      <c r="J85" s="25"/>
      <c r="K85" s="25"/>
      <c r="L85" s="25"/>
      <c r="M85" s="25"/>
      <c r="N85" s="25"/>
      <c r="O85" s="25"/>
    </row>
    <row r="86" spans="2:15" x14ac:dyDescent="0.3">
      <c r="B86" s="25"/>
      <c r="C86" s="25"/>
      <c r="D86" s="25"/>
      <c r="E86" s="25"/>
      <c r="F86" s="25"/>
      <c r="G86" s="25"/>
      <c r="H86" s="25"/>
      <c r="I86" s="25"/>
      <c r="J86" s="25"/>
      <c r="K86" s="25"/>
      <c r="L86" s="25"/>
      <c r="M86" s="25"/>
      <c r="N86" s="25"/>
      <c r="O86" s="25"/>
    </row>
    <row r="87" spans="2:15" x14ac:dyDescent="0.3">
      <c r="B87" s="25"/>
      <c r="C87" s="25"/>
      <c r="D87" s="25"/>
      <c r="E87" s="25"/>
      <c r="F87" s="25"/>
      <c r="G87" s="25"/>
      <c r="H87" s="25"/>
      <c r="I87" s="25"/>
      <c r="J87" s="25"/>
      <c r="K87" s="25"/>
      <c r="L87" s="25"/>
      <c r="M87" s="25"/>
      <c r="N87" s="25"/>
      <c r="O87" s="25"/>
    </row>
    <row r="88" spans="2:15" x14ac:dyDescent="0.3">
      <c r="B88" s="25"/>
      <c r="C88" s="25"/>
      <c r="D88" s="25"/>
      <c r="E88" s="25"/>
      <c r="F88" s="25"/>
      <c r="G88" s="25"/>
      <c r="H88" s="25"/>
      <c r="I88" s="25"/>
      <c r="J88" s="25"/>
      <c r="K88" s="25"/>
      <c r="L88" s="25"/>
      <c r="M88" s="25"/>
      <c r="N88" s="25"/>
      <c r="O88" s="25"/>
    </row>
    <row r="89" spans="2:15" x14ac:dyDescent="0.3">
      <c r="B89" s="25"/>
      <c r="C89" s="25"/>
      <c r="D89" s="25"/>
      <c r="E89" s="25"/>
      <c r="F89" s="25"/>
      <c r="G89" s="25"/>
      <c r="H89" s="25"/>
      <c r="I89" s="25"/>
      <c r="J89" s="25"/>
      <c r="K89" s="25"/>
      <c r="L89" s="25"/>
      <c r="M89" s="25"/>
      <c r="N89" s="25"/>
      <c r="O89" s="25"/>
    </row>
    <row r="90" spans="2:15" x14ac:dyDescent="0.3">
      <c r="B90" s="25"/>
      <c r="C90" s="25"/>
      <c r="D90" s="25"/>
      <c r="E90" s="25"/>
      <c r="F90" s="25"/>
      <c r="G90" s="25"/>
      <c r="H90" s="25"/>
      <c r="I90" s="25"/>
      <c r="J90" s="25"/>
      <c r="K90" s="25"/>
      <c r="L90" s="25"/>
      <c r="M90" s="25"/>
      <c r="N90" s="25"/>
      <c r="O90" s="25"/>
    </row>
    <row r="91" spans="2:15" x14ac:dyDescent="0.3">
      <c r="B91" s="25"/>
      <c r="C91" s="25"/>
      <c r="D91" s="25"/>
      <c r="E91" s="25"/>
      <c r="F91" s="25"/>
      <c r="G91" s="25"/>
      <c r="H91" s="25"/>
      <c r="I91" s="25"/>
      <c r="J91" s="25"/>
      <c r="K91" s="25"/>
      <c r="L91" s="25"/>
      <c r="M91" s="25"/>
      <c r="N91" s="25"/>
      <c r="O91" s="25"/>
    </row>
    <row r="92" spans="2:15" x14ac:dyDescent="0.3">
      <c r="B92" s="25"/>
      <c r="C92" s="25"/>
      <c r="D92" s="25"/>
      <c r="E92" s="25"/>
      <c r="F92" s="25"/>
      <c r="G92" s="25"/>
      <c r="H92" s="25"/>
      <c r="I92" s="25"/>
      <c r="J92" s="25"/>
      <c r="K92" s="25"/>
      <c r="L92" s="25"/>
      <c r="M92" s="25"/>
      <c r="N92" s="25"/>
      <c r="O92" s="25"/>
    </row>
    <row r="93" spans="2:15" x14ac:dyDescent="0.3">
      <c r="B93" s="25"/>
      <c r="C93" s="25"/>
      <c r="D93" s="25"/>
      <c r="E93" s="25"/>
      <c r="F93" s="25"/>
      <c r="G93" s="25"/>
      <c r="H93" s="25"/>
      <c r="I93" s="25"/>
      <c r="J93" s="25"/>
      <c r="K93" s="25"/>
      <c r="L93" s="25"/>
      <c r="M93" s="25"/>
      <c r="N93" s="25"/>
      <c r="O93" s="25"/>
    </row>
    <row r="94" spans="2:15" x14ac:dyDescent="0.3">
      <c r="B94" s="25"/>
      <c r="C94" s="25"/>
      <c r="D94" s="25"/>
      <c r="E94" s="25"/>
      <c r="F94" s="25"/>
      <c r="G94" s="25"/>
      <c r="H94" s="25"/>
      <c r="I94" s="25"/>
      <c r="J94" s="25"/>
      <c r="K94" s="25"/>
      <c r="L94" s="25"/>
      <c r="M94" s="25"/>
      <c r="N94" s="25"/>
      <c r="O94" s="25"/>
    </row>
    <row r="95" spans="2:15" x14ac:dyDescent="0.3">
      <c r="B95" s="25"/>
      <c r="C95" s="25"/>
      <c r="D95" s="25"/>
      <c r="E95" s="25"/>
      <c r="F95" s="25"/>
      <c r="G95" s="25"/>
      <c r="H95" s="25"/>
      <c r="I95" s="25"/>
      <c r="J95" s="25"/>
      <c r="K95" s="25"/>
      <c r="L95" s="25"/>
      <c r="M95" s="25"/>
      <c r="N95" s="25"/>
      <c r="O95" s="25"/>
    </row>
    <row r="96" spans="2:15" x14ac:dyDescent="0.3">
      <c r="B96" s="25"/>
      <c r="C96" s="25"/>
      <c r="D96" s="25"/>
      <c r="E96" s="25"/>
      <c r="F96" s="25"/>
      <c r="G96" s="25"/>
      <c r="H96" s="25"/>
      <c r="I96" s="25"/>
      <c r="J96" s="25"/>
      <c r="K96" s="25"/>
      <c r="L96" s="25"/>
      <c r="M96" s="25"/>
      <c r="N96" s="25"/>
      <c r="O96" s="25"/>
    </row>
    <row r="97" spans="2:15" x14ac:dyDescent="0.3">
      <c r="B97" s="25"/>
      <c r="C97" s="25"/>
      <c r="D97" s="25"/>
      <c r="E97" s="25"/>
      <c r="F97" s="25"/>
      <c r="G97" s="25"/>
      <c r="H97" s="25"/>
      <c r="I97" s="25"/>
      <c r="J97" s="25"/>
      <c r="K97" s="25"/>
      <c r="L97" s="25"/>
      <c r="M97" s="25"/>
      <c r="N97" s="25"/>
      <c r="O97" s="25"/>
    </row>
    <row r="98" spans="2:15" x14ac:dyDescent="0.3">
      <c r="B98" s="25"/>
      <c r="C98" s="25"/>
      <c r="D98" s="25"/>
      <c r="E98" s="25"/>
      <c r="F98" s="25"/>
      <c r="G98" s="25"/>
      <c r="H98" s="25"/>
      <c r="I98" s="25"/>
      <c r="J98" s="25"/>
      <c r="K98" s="25"/>
      <c r="L98" s="25"/>
      <c r="M98" s="25"/>
      <c r="N98" s="25"/>
      <c r="O98" s="25"/>
    </row>
    <row r="99" spans="2:15" x14ac:dyDescent="0.3">
      <c r="B99" s="25"/>
      <c r="C99" s="25"/>
      <c r="D99" s="25"/>
      <c r="E99" s="25"/>
      <c r="F99" s="25"/>
      <c r="G99" s="25"/>
      <c r="H99" s="25"/>
      <c r="I99" s="25"/>
      <c r="J99" s="25"/>
      <c r="K99" s="25"/>
      <c r="L99" s="25"/>
      <c r="M99" s="25"/>
      <c r="N99" s="25"/>
      <c r="O99" s="25"/>
    </row>
    <row r="100" spans="2:15" x14ac:dyDescent="0.3">
      <c r="B100" s="25"/>
      <c r="C100" s="25"/>
      <c r="D100" s="25"/>
      <c r="E100" s="25"/>
      <c r="F100" s="25"/>
      <c r="G100" s="25"/>
      <c r="H100" s="25"/>
      <c r="I100" s="25"/>
      <c r="J100" s="25"/>
      <c r="K100" s="25"/>
      <c r="L100" s="25"/>
      <c r="M100" s="25"/>
      <c r="N100" s="25"/>
      <c r="O100" s="25"/>
    </row>
    <row r="101" spans="2:15" x14ac:dyDescent="0.3">
      <c r="B101" s="25"/>
      <c r="C101" s="25"/>
      <c r="D101" s="25"/>
      <c r="E101" s="25"/>
      <c r="F101" s="25"/>
      <c r="G101" s="25"/>
      <c r="H101" s="25"/>
      <c r="I101" s="25"/>
      <c r="J101" s="25"/>
      <c r="K101" s="25"/>
      <c r="L101" s="25"/>
      <c r="M101" s="25"/>
      <c r="N101" s="25"/>
      <c r="O101" s="25"/>
    </row>
    <row r="102" spans="2:15" x14ac:dyDescent="0.3">
      <c r="B102" s="25"/>
      <c r="C102" s="25"/>
      <c r="D102" s="25"/>
      <c r="E102" s="25"/>
      <c r="F102" s="25"/>
      <c r="G102" s="25"/>
      <c r="H102" s="25"/>
      <c r="I102" s="25"/>
      <c r="J102" s="25"/>
      <c r="K102" s="25"/>
      <c r="L102" s="25"/>
      <c r="M102" s="25"/>
      <c r="N102" s="25"/>
      <c r="O102" s="25"/>
    </row>
    <row r="103" spans="2:15" x14ac:dyDescent="0.3">
      <c r="B103" s="25"/>
      <c r="C103" s="25"/>
      <c r="D103" s="25"/>
      <c r="E103" s="25"/>
      <c r="F103" s="25"/>
      <c r="G103" s="25"/>
      <c r="H103" s="25"/>
      <c r="I103" s="25"/>
      <c r="J103" s="25"/>
      <c r="K103" s="25"/>
      <c r="L103" s="25"/>
      <c r="M103" s="25"/>
      <c r="N103" s="25"/>
      <c r="O103" s="25"/>
    </row>
    <row r="104" spans="2:15" x14ac:dyDescent="0.3">
      <c r="B104" s="25"/>
      <c r="C104" s="25"/>
      <c r="D104" s="25"/>
      <c r="E104" s="25"/>
      <c r="F104" s="25"/>
      <c r="G104" s="25"/>
      <c r="H104" s="25"/>
      <c r="I104" s="25"/>
      <c r="J104" s="25"/>
      <c r="K104" s="25"/>
      <c r="L104" s="25"/>
      <c r="M104" s="25"/>
      <c r="N104" s="25"/>
      <c r="O104" s="25"/>
    </row>
    <row r="105" spans="2:15" x14ac:dyDescent="0.3">
      <c r="B105" s="25"/>
      <c r="C105" s="25"/>
      <c r="D105" s="25"/>
      <c r="E105" s="25"/>
      <c r="F105" s="25"/>
      <c r="G105" s="25"/>
      <c r="H105" s="25"/>
      <c r="I105" s="25"/>
      <c r="J105" s="25"/>
      <c r="K105" s="25"/>
      <c r="L105" s="25"/>
      <c r="M105" s="25"/>
      <c r="N105" s="25"/>
      <c r="O105" s="25"/>
    </row>
    <row r="106" spans="2:15" x14ac:dyDescent="0.3">
      <c r="B106" s="25"/>
      <c r="C106" s="25"/>
      <c r="D106" s="25"/>
      <c r="E106" s="25"/>
      <c r="F106" s="25"/>
      <c r="G106" s="25"/>
      <c r="H106" s="25"/>
      <c r="I106" s="25"/>
      <c r="J106" s="25"/>
      <c r="K106" s="25"/>
      <c r="L106" s="25"/>
      <c r="M106" s="25"/>
      <c r="N106" s="25"/>
      <c r="O106" s="25"/>
    </row>
    <row r="107" spans="2:15" x14ac:dyDescent="0.3">
      <c r="B107" s="25"/>
      <c r="C107" s="25"/>
      <c r="D107" s="25"/>
      <c r="E107" s="25"/>
      <c r="F107" s="25"/>
      <c r="G107" s="25"/>
      <c r="H107" s="25"/>
      <c r="I107" s="25"/>
      <c r="J107" s="25"/>
      <c r="K107" s="25"/>
      <c r="L107" s="25"/>
      <c r="M107" s="25"/>
      <c r="N107" s="25"/>
      <c r="O107" s="25"/>
    </row>
    <row r="108" spans="2:15" x14ac:dyDescent="0.3">
      <c r="B108" s="25"/>
      <c r="C108" s="25"/>
      <c r="D108" s="25"/>
      <c r="E108" s="25"/>
      <c r="F108" s="25"/>
      <c r="G108" s="25"/>
      <c r="H108" s="25"/>
      <c r="I108" s="25"/>
      <c r="J108" s="25"/>
      <c r="K108" s="25"/>
      <c r="L108" s="25"/>
      <c r="M108" s="25"/>
      <c r="N108" s="25"/>
      <c r="O108" s="25"/>
    </row>
    <row r="109" spans="2:15" x14ac:dyDescent="0.3">
      <c r="B109" s="25"/>
      <c r="C109" s="25"/>
      <c r="D109" s="25"/>
      <c r="E109" s="25"/>
      <c r="F109" s="25"/>
      <c r="G109" s="25"/>
      <c r="H109" s="25"/>
      <c r="I109" s="25"/>
      <c r="J109" s="25"/>
      <c r="K109" s="25"/>
      <c r="L109" s="25"/>
      <c r="M109" s="25"/>
      <c r="N109" s="25"/>
      <c r="O109" s="25"/>
    </row>
    <row r="110" spans="2:15" x14ac:dyDescent="0.3">
      <c r="B110" s="25"/>
      <c r="C110" s="25"/>
      <c r="D110" s="25"/>
      <c r="E110" s="25"/>
      <c r="F110" s="25"/>
      <c r="G110" s="25"/>
      <c r="H110" s="25"/>
      <c r="I110" s="25"/>
      <c r="J110" s="25"/>
      <c r="K110" s="25"/>
      <c r="L110" s="25"/>
      <c r="M110" s="25"/>
      <c r="N110" s="25"/>
      <c r="O110" s="25"/>
    </row>
    <row r="111" spans="2:15" x14ac:dyDescent="0.3">
      <c r="B111" s="25"/>
      <c r="C111" s="25"/>
      <c r="D111" s="25"/>
      <c r="E111" s="25"/>
      <c r="F111" s="25"/>
      <c r="G111" s="25"/>
      <c r="H111" s="25"/>
      <c r="I111" s="25"/>
      <c r="J111" s="25"/>
      <c r="K111" s="25"/>
      <c r="L111" s="25"/>
      <c r="M111" s="25"/>
      <c r="N111" s="25"/>
      <c r="O111" s="25"/>
    </row>
    <row r="112" spans="2:15" x14ac:dyDescent="0.3">
      <c r="B112" s="25"/>
      <c r="C112" s="25"/>
      <c r="D112" s="25"/>
      <c r="E112" s="25"/>
      <c r="F112" s="25"/>
      <c r="G112" s="25"/>
      <c r="H112" s="25"/>
      <c r="I112" s="25"/>
      <c r="J112" s="25"/>
      <c r="K112" s="25"/>
      <c r="L112" s="25"/>
      <c r="M112" s="25"/>
      <c r="N112" s="25"/>
      <c r="O112" s="25"/>
    </row>
    <row r="113" spans="2:15" x14ac:dyDescent="0.3">
      <c r="B113" s="25"/>
      <c r="C113" s="25"/>
      <c r="D113" s="25"/>
      <c r="E113" s="25"/>
      <c r="F113" s="25"/>
      <c r="G113" s="25"/>
      <c r="H113" s="25"/>
      <c r="I113" s="25"/>
      <c r="J113" s="25"/>
      <c r="K113" s="25"/>
      <c r="L113" s="25"/>
      <c r="M113" s="25"/>
      <c r="N113" s="25"/>
      <c r="O113" s="25"/>
    </row>
    <row r="114" spans="2:15" x14ac:dyDescent="0.3">
      <c r="B114" s="25"/>
      <c r="C114" s="25"/>
      <c r="D114" s="25"/>
      <c r="E114" s="25"/>
      <c r="F114" s="25"/>
      <c r="G114" s="25"/>
      <c r="H114" s="25"/>
      <c r="I114" s="25"/>
      <c r="J114" s="25"/>
      <c r="K114" s="25"/>
      <c r="L114" s="25"/>
      <c r="M114" s="25"/>
      <c r="N114" s="25"/>
      <c r="O114" s="25"/>
    </row>
    <row r="115" spans="2:15" x14ac:dyDescent="0.3">
      <c r="B115" s="25"/>
      <c r="C115" s="25"/>
      <c r="D115" s="25"/>
      <c r="E115" s="25"/>
      <c r="F115" s="25"/>
      <c r="G115" s="25"/>
      <c r="H115" s="25"/>
      <c r="I115" s="25"/>
      <c r="J115" s="25"/>
      <c r="K115" s="25"/>
      <c r="L115" s="25"/>
      <c r="M115" s="25"/>
      <c r="N115" s="25"/>
      <c r="O115" s="25"/>
    </row>
    <row r="116" spans="2:15" x14ac:dyDescent="0.3">
      <c r="B116" s="25"/>
      <c r="C116" s="25"/>
      <c r="D116" s="25"/>
      <c r="E116" s="25"/>
      <c r="F116" s="25"/>
      <c r="G116" s="25"/>
      <c r="H116" s="25"/>
      <c r="I116" s="25"/>
      <c r="J116" s="25"/>
      <c r="K116" s="25"/>
      <c r="L116" s="25"/>
      <c r="M116" s="25"/>
      <c r="N116" s="25"/>
      <c r="O116" s="25"/>
    </row>
    <row r="117" spans="2:15" x14ac:dyDescent="0.3">
      <c r="B117" s="25"/>
      <c r="C117" s="25"/>
      <c r="D117" s="25"/>
      <c r="E117" s="25"/>
      <c r="F117" s="25"/>
      <c r="G117" s="25"/>
      <c r="H117" s="25"/>
      <c r="I117" s="25"/>
      <c r="J117" s="25"/>
      <c r="K117" s="25"/>
      <c r="L117" s="25"/>
      <c r="M117" s="25"/>
      <c r="N117" s="25"/>
      <c r="O117" s="25"/>
    </row>
    <row r="118" spans="2:15" x14ac:dyDescent="0.3">
      <c r="B118" s="25"/>
      <c r="C118" s="25"/>
      <c r="D118" s="25"/>
      <c r="E118" s="25"/>
      <c r="F118" s="25"/>
      <c r="G118" s="25"/>
      <c r="H118" s="25"/>
      <c r="I118" s="25"/>
      <c r="J118" s="25"/>
      <c r="K118" s="25"/>
      <c r="L118" s="25"/>
      <c r="M118" s="25"/>
      <c r="N118" s="25"/>
      <c r="O118" s="25"/>
    </row>
    <row r="119" spans="2:15" x14ac:dyDescent="0.3">
      <c r="B119" s="25"/>
      <c r="C119" s="25"/>
      <c r="D119" s="25"/>
      <c r="E119" s="25"/>
      <c r="F119" s="25"/>
      <c r="G119" s="25"/>
      <c r="H119" s="25"/>
      <c r="I119" s="25"/>
      <c r="J119" s="25"/>
      <c r="K119" s="25"/>
      <c r="L119" s="25"/>
      <c r="M119" s="25"/>
      <c r="N119" s="25"/>
      <c r="O119" s="25"/>
    </row>
    <row r="120" spans="2:15" x14ac:dyDescent="0.3">
      <c r="B120" s="25"/>
      <c r="C120" s="25"/>
      <c r="D120" s="25"/>
      <c r="E120" s="25"/>
      <c r="F120" s="25"/>
      <c r="G120" s="25"/>
      <c r="H120" s="25"/>
      <c r="I120" s="25"/>
      <c r="J120" s="25"/>
      <c r="K120" s="25"/>
      <c r="L120" s="25"/>
      <c r="M120" s="25"/>
      <c r="N120" s="25"/>
      <c r="O120" s="25"/>
    </row>
    <row r="121" spans="2:15" x14ac:dyDescent="0.3">
      <c r="B121" s="25"/>
      <c r="C121" s="25"/>
      <c r="D121" s="25"/>
      <c r="E121" s="25"/>
      <c r="F121" s="25"/>
      <c r="G121" s="25"/>
      <c r="H121" s="25"/>
      <c r="I121" s="25"/>
      <c r="J121" s="25"/>
      <c r="K121" s="25"/>
      <c r="L121" s="25"/>
      <c r="M121" s="25"/>
      <c r="N121" s="25"/>
      <c r="O121" s="25"/>
    </row>
    <row r="122" spans="2:15" x14ac:dyDescent="0.3">
      <c r="B122" s="25"/>
      <c r="C122" s="25"/>
      <c r="D122" s="25"/>
      <c r="E122" s="25"/>
      <c r="F122" s="25"/>
      <c r="G122" s="25"/>
      <c r="H122" s="25"/>
      <c r="I122" s="25"/>
      <c r="J122" s="25"/>
      <c r="K122" s="25"/>
      <c r="L122" s="25"/>
      <c r="M122" s="25"/>
      <c r="N122" s="25"/>
      <c r="O122" s="25"/>
    </row>
    <row r="123" spans="2:15" x14ac:dyDescent="0.3">
      <c r="B123" s="25"/>
      <c r="C123" s="25"/>
      <c r="D123" s="25"/>
      <c r="E123" s="25"/>
      <c r="F123" s="25"/>
      <c r="G123" s="25"/>
      <c r="H123" s="25"/>
      <c r="I123" s="25"/>
      <c r="J123" s="25"/>
      <c r="K123" s="25"/>
      <c r="L123" s="25"/>
      <c r="M123" s="25"/>
      <c r="N123" s="25"/>
      <c r="O123" s="25"/>
    </row>
    <row r="124" spans="2:15" x14ac:dyDescent="0.3">
      <c r="B124" s="25"/>
      <c r="C124" s="25"/>
      <c r="D124" s="25"/>
      <c r="E124" s="25"/>
      <c r="F124" s="25"/>
      <c r="G124" s="25"/>
      <c r="H124" s="25"/>
      <c r="I124" s="25"/>
      <c r="J124" s="25"/>
      <c r="K124" s="25"/>
      <c r="L124" s="25"/>
      <c r="M124" s="25"/>
      <c r="N124" s="25"/>
      <c r="O124" s="25"/>
    </row>
    <row r="125" spans="2:15" x14ac:dyDescent="0.3">
      <c r="B125" s="25"/>
      <c r="C125" s="25"/>
      <c r="D125" s="25"/>
      <c r="E125" s="25"/>
      <c r="F125" s="25"/>
      <c r="G125" s="25"/>
      <c r="H125" s="25"/>
      <c r="I125" s="25"/>
      <c r="J125" s="25"/>
      <c r="K125" s="25"/>
      <c r="L125" s="25"/>
      <c r="M125" s="25"/>
      <c r="N125" s="25"/>
      <c r="O125" s="25"/>
    </row>
    <row r="126" spans="2:15" x14ac:dyDescent="0.3">
      <c r="B126" s="25"/>
      <c r="C126" s="25"/>
      <c r="D126" s="25"/>
      <c r="E126" s="25"/>
      <c r="F126" s="25"/>
      <c r="G126" s="25"/>
      <c r="H126" s="25"/>
      <c r="I126" s="25"/>
      <c r="J126" s="25"/>
      <c r="K126" s="25"/>
      <c r="L126" s="25"/>
      <c r="M126" s="25"/>
      <c r="N126" s="25"/>
      <c r="O126" s="25"/>
    </row>
    <row r="127" spans="2:15" x14ac:dyDescent="0.3">
      <c r="B127" s="25"/>
      <c r="C127" s="25"/>
      <c r="D127" s="25"/>
      <c r="E127" s="25"/>
      <c r="F127" s="25"/>
      <c r="G127" s="25"/>
      <c r="H127" s="25"/>
      <c r="I127" s="25"/>
      <c r="J127" s="25"/>
      <c r="K127" s="25"/>
      <c r="L127" s="25"/>
      <c r="M127" s="25"/>
      <c r="N127" s="25"/>
      <c r="O127" s="25"/>
    </row>
    <row r="128" spans="2:15" x14ac:dyDescent="0.3">
      <c r="B128" s="25"/>
      <c r="C128" s="25"/>
      <c r="D128" s="25"/>
      <c r="E128" s="25"/>
      <c r="F128" s="25"/>
      <c r="G128" s="25"/>
      <c r="H128" s="25"/>
      <c r="I128" s="25"/>
      <c r="J128" s="25"/>
      <c r="K128" s="25"/>
      <c r="L128" s="25"/>
      <c r="M128" s="25"/>
      <c r="N128" s="25"/>
      <c r="O128" s="25"/>
    </row>
    <row r="129" spans="2:15" x14ac:dyDescent="0.3">
      <c r="B129" s="25"/>
      <c r="C129" s="25"/>
      <c r="D129" s="25"/>
      <c r="E129" s="25"/>
      <c r="F129" s="25"/>
      <c r="G129" s="25"/>
      <c r="H129" s="25"/>
      <c r="I129" s="25"/>
      <c r="J129" s="25"/>
      <c r="K129" s="25"/>
      <c r="L129" s="25"/>
      <c r="M129" s="25"/>
      <c r="N129" s="25"/>
      <c r="O129" s="25"/>
    </row>
    <row r="130" spans="2:15" x14ac:dyDescent="0.3">
      <c r="B130" s="25"/>
      <c r="C130" s="25"/>
      <c r="D130" s="25"/>
      <c r="E130" s="25"/>
      <c r="F130" s="25"/>
      <c r="G130" s="25"/>
      <c r="H130" s="25"/>
      <c r="I130" s="25"/>
      <c r="J130" s="25"/>
      <c r="K130" s="25"/>
      <c r="L130" s="25"/>
      <c r="M130" s="25"/>
      <c r="N130" s="25"/>
      <c r="O130" s="25"/>
    </row>
    <row r="131" spans="2:15" x14ac:dyDescent="0.3">
      <c r="B131" s="25"/>
      <c r="C131" s="25"/>
      <c r="D131" s="25"/>
      <c r="E131" s="25"/>
      <c r="F131" s="25"/>
      <c r="G131" s="25"/>
      <c r="H131" s="25"/>
      <c r="I131" s="25"/>
      <c r="J131" s="25"/>
      <c r="K131" s="25"/>
      <c r="L131" s="25"/>
      <c r="M131" s="25"/>
      <c r="N131" s="25"/>
      <c r="O131" s="25"/>
    </row>
    <row r="132" spans="2:15" x14ac:dyDescent="0.3">
      <c r="B132" s="25"/>
      <c r="C132" s="25"/>
      <c r="D132" s="25"/>
      <c r="E132" s="25"/>
      <c r="F132" s="25"/>
      <c r="G132" s="25"/>
      <c r="H132" s="25"/>
      <c r="I132" s="25"/>
      <c r="J132" s="25"/>
      <c r="K132" s="25"/>
      <c r="L132" s="25"/>
      <c r="M132" s="25"/>
      <c r="N132" s="25"/>
      <c r="O132" s="25"/>
    </row>
    <row r="133" spans="2:15" x14ac:dyDescent="0.3">
      <c r="B133" s="25"/>
      <c r="C133" s="25"/>
      <c r="D133" s="25"/>
      <c r="E133" s="25"/>
      <c r="F133" s="25"/>
      <c r="G133" s="25"/>
      <c r="H133" s="25"/>
      <c r="I133" s="25"/>
      <c r="J133" s="25"/>
      <c r="K133" s="25"/>
      <c r="L133" s="25"/>
      <c r="M133" s="25"/>
      <c r="N133" s="25"/>
      <c r="O133" s="25"/>
    </row>
    <row r="134" spans="2:15" x14ac:dyDescent="0.3">
      <c r="B134" s="25"/>
      <c r="C134" s="25"/>
      <c r="D134" s="25"/>
      <c r="E134" s="25"/>
      <c r="F134" s="25"/>
      <c r="G134" s="25"/>
      <c r="H134" s="25"/>
      <c r="I134" s="25"/>
      <c r="J134" s="25"/>
      <c r="K134" s="25"/>
      <c r="L134" s="25"/>
      <c r="M134" s="25"/>
      <c r="N134" s="25"/>
      <c r="O134" s="25"/>
    </row>
    <row r="135" spans="2:15" x14ac:dyDescent="0.3">
      <c r="B135" s="25"/>
      <c r="C135" s="25"/>
      <c r="D135" s="25"/>
      <c r="E135" s="25"/>
      <c r="F135" s="25"/>
      <c r="G135" s="25"/>
      <c r="H135" s="25"/>
      <c r="I135" s="25"/>
      <c r="J135" s="25"/>
      <c r="K135" s="25"/>
      <c r="L135" s="25"/>
      <c r="M135" s="25"/>
      <c r="N135" s="25"/>
      <c r="O135" s="25"/>
    </row>
    <row r="136" spans="2:15" x14ac:dyDescent="0.3">
      <c r="B136" s="25"/>
      <c r="C136" s="25"/>
      <c r="D136" s="25"/>
      <c r="E136" s="25"/>
      <c r="F136" s="25"/>
      <c r="G136" s="25"/>
      <c r="H136" s="25"/>
      <c r="I136" s="25"/>
      <c r="J136" s="25"/>
      <c r="K136" s="25"/>
      <c r="L136" s="25"/>
      <c r="M136" s="25"/>
      <c r="N136" s="25"/>
      <c r="O136" s="25"/>
    </row>
    <row r="137" spans="2:15" x14ac:dyDescent="0.3">
      <c r="B137" s="25"/>
      <c r="C137" s="25"/>
      <c r="D137" s="25"/>
      <c r="E137" s="25"/>
      <c r="F137" s="25"/>
      <c r="G137" s="25"/>
      <c r="H137" s="25"/>
      <c r="I137" s="25"/>
      <c r="J137" s="25"/>
      <c r="K137" s="25"/>
      <c r="L137" s="25"/>
      <c r="M137" s="25"/>
      <c r="N137" s="25"/>
      <c r="O137" s="25"/>
    </row>
    <row r="138" spans="2:15" x14ac:dyDescent="0.3">
      <c r="B138" s="25"/>
      <c r="C138" s="25"/>
      <c r="D138" s="25"/>
      <c r="E138" s="25"/>
      <c r="F138" s="25"/>
      <c r="G138" s="25"/>
      <c r="H138" s="25"/>
      <c r="I138" s="25"/>
      <c r="J138" s="25"/>
      <c r="K138" s="25"/>
      <c r="L138" s="25"/>
      <c r="M138" s="25"/>
      <c r="N138" s="25"/>
      <c r="O138" s="25"/>
    </row>
    <row r="139" spans="2:15" x14ac:dyDescent="0.3">
      <c r="B139" s="25"/>
      <c r="C139" s="25"/>
      <c r="D139" s="25"/>
      <c r="E139" s="25"/>
      <c r="F139" s="25"/>
      <c r="G139" s="25"/>
      <c r="H139" s="25"/>
      <c r="I139" s="25"/>
      <c r="J139" s="25"/>
      <c r="K139" s="25"/>
      <c r="L139" s="25"/>
      <c r="M139" s="25"/>
      <c r="N139" s="25"/>
      <c r="O139" s="25"/>
    </row>
    <row r="140" spans="2:15" x14ac:dyDescent="0.3">
      <c r="B140" s="25"/>
      <c r="C140" s="25"/>
      <c r="D140" s="25"/>
      <c r="E140" s="25"/>
      <c r="F140" s="25"/>
      <c r="G140" s="25"/>
      <c r="H140" s="25"/>
      <c r="I140" s="25"/>
      <c r="J140" s="25"/>
      <c r="K140" s="25"/>
      <c r="L140" s="25"/>
      <c r="M140" s="25"/>
      <c r="N140" s="25"/>
      <c r="O140" s="25"/>
    </row>
    <row r="141" spans="2:15" x14ac:dyDescent="0.3">
      <c r="B141" s="25"/>
      <c r="C141" s="25"/>
      <c r="D141" s="25"/>
      <c r="E141" s="25"/>
      <c r="F141" s="25"/>
      <c r="G141" s="25"/>
      <c r="H141" s="25"/>
      <c r="I141" s="25"/>
      <c r="J141" s="25"/>
      <c r="K141" s="25"/>
      <c r="L141" s="25"/>
      <c r="M141" s="25"/>
      <c r="N141" s="25"/>
      <c r="O141" s="25"/>
    </row>
    <row r="142" spans="2:15" x14ac:dyDescent="0.3">
      <c r="B142" s="25"/>
      <c r="C142" s="25"/>
      <c r="D142" s="25"/>
      <c r="E142" s="25"/>
      <c r="F142" s="25"/>
      <c r="G142" s="25"/>
      <c r="H142" s="25"/>
      <c r="I142" s="25"/>
      <c r="J142" s="25"/>
      <c r="K142" s="25"/>
      <c r="L142" s="25"/>
      <c r="M142" s="25"/>
      <c r="N142" s="25"/>
      <c r="O142" s="25"/>
    </row>
    <row r="143" spans="2:15" x14ac:dyDescent="0.3">
      <c r="B143" s="25"/>
      <c r="C143" s="25"/>
      <c r="D143" s="25"/>
      <c r="E143" s="25"/>
      <c r="F143" s="25"/>
      <c r="G143" s="25"/>
      <c r="H143" s="25"/>
      <c r="I143" s="25"/>
      <c r="J143" s="25"/>
      <c r="K143" s="25"/>
      <c r="L143" s="25"/>
      <c r="M143" s="25"/>
      <c r="N143" s="25"/>
      <c r="O143" s="25"/>
    </row>
    <row r="144" spans="2:15" x14ac:dyDescent="0.3">
      <c r="B144" s="25"/>
      <c r="C144" s="25"/>
      <c r="D144" s="25"/>
      <c r="E144" s="25"/>
      <c r="F144" s="25"/>
      <c r="G144" s="25"/>
      <c r="H144" s="25"/>
      <c r="I144" s="25"/>
      <c r="J144" s="25"/>
      <c r="K144" s="25"/>
      <c r="L144" s="25"/>
      <c r="M144" s="25"/>
      <c r="N144" s="25"/>
      <c r="O144" s="25"/>
    </row>
    <row r="145" spans="2:15" x14ac:dyDescent="0.3">
      <c r="B145" s="25"/>
      <c r="C145" s="25"/>
      <c r="D145" s="25"/>
      <c r="E145" s="25"/>
      <c r="F145" s="25"/>
      <c r="G145" s="25"/>
      <c r="H145" s="25"/>
      <c r="I145" s="25"/>
      <c r="J145" s="25"/>
      <c r="K145" s="25"/>
      <c r="L145" s="25"/>
      <c r="M145" s="25"/>
      <c r="N145" s="25"/>
      <c r="O145" s="25"/>
    </row>
    <row r="146" spans="2:15" x14ac:dyDescent="0.3">
      <c r="B146" s="25"/>
      <c r="C146" s="25"/>
      <c r="D146" s="25"/>
      <c r="E146" s="25"/>
      <c r="F146" s="25"/>
      <c r="G146" s="25"/>
      <c r="H146" s="25"/>
      <c r="I146" s="25"/>
      <c r="J146" s="25"/>
      <c r="K146" s="25"/>
      <c r="L146" s="25"/>
      <c r="M146" s="25"/>
      <c r="N146" s="25"/>
      <c r="O146" s="25"/>
    </row>
    <row r="147" spans="2:15" x14ac:dyDescent="0.3">
      <c r="B147" s="25"/>
      <c r="C147" s="25"/>
      <c r="D147" s="25"/>
      <c r="E147" s="25"/>
      <c r="F147" s="25"/>
      <c r="G147" s="25"/>
      <c r="H147" s="25"/>
      <c r="I147" s="25"/>
      <c r="J147" s="25"/>
      <c r="K147" s="25"/>
      <c r="L147" s="25"/>
      <c r="M147" s="25"/>
      <c r="N147" s="25"/>
      <c r="O147" s="25"/>
    </row>
    <row r="148" spans="2:15" x14ac:dyDescent="0.3">
      <c r="B148" s="25"/>
      <c r="C148" s="25"/>
      <c r="D148" s="25"/>
      <c r="E148" s="25"/>
      <c r="F148" s="25"/>
      <c r="G148" s="25"/>
      <c r="H148" s="25"/>
      <c r="I148" s="25"/>
      <c r="J148" s="25"/>
      <c r="K148" s="25"/>
      <c r="L148" s="25"/>
      <c r="M148" s="25"/>
      <c r="N148" s="25"/>
      <c r="O148" s="25"/>
    </row>
    <row r="149" spans="2:15" x14ac:dyDescent="0.3">
      <c r="B149" s="25"/>
      <c r="C149" s="25"/>
      <c r="D149" s="25"/>
      <c r="E149" s="25"/>
      <c r="F149" s="25"/>
      <c r="G149" s="25"/>
      <c r="H149" s="25"/>
      <c r="I149" s="25"/>
      <c r="J149" s="25"/>
      <c r="K149" s="25"/>
      <c r="L149" s="25"/>
      <c r="M149" s="25"/>
      <c r="N149" s="25"/>
      <c r="O149" s="25"/>
    </row>
    <row r="150" spans="2:15" x14ac:dyDescent="0.3">
      <c r="B150" s="25"/>
      <c r="C150" s="25"/>
      <c r="D150" s="25"/>
      <c r="E150" s="25"/>
      <c r="F150" s="25"/>
      <c r="G150" s="25"/>
      <c r="H150" s="25"/>
      <c r="I150" s="25"/>
      <c r="J150" s="25"/>
      <c r="K150" s="25"/>
      <c r="L150" s="25"/>
      <c r="M150" s="25"/>
      <c r="N150" s="25"/>
      <c r="O150" s="25"/>
    </row>
    <row r="151" spans="2:15" x14ac:dyDescent="0.3">
      <c r="B151" s="25"/>
      <c r="C151" s="25"/>
      <c r="D151" s="25"/>
      <c r="E151" s="25"/>
      <c r="F151" s="25"/>
      <c r="G151" s="25"/>
      <c r="H151" s="25"/>
      <c r="I151" s="25"/>
      <c r="J151" s="25"/>
      <c r="K151" s="25"/>
      <c r="L151" s="25"/>
      <c r="M151" s="25"/>
      <c r="N151" s="25"/>
      <c r="O151" s="25"/>
    </row>
    <row r="152" spans="2:15" x14ac:dyDescent="0.3">
      <c r="B152" s="25"/>
      <c r="C152" s="25"/>
      <c r="D152" s="25"/>
      <c r="E152" s="25"/>
      <c r="F152" s="25"/>
      <c r="G152" s="25"/>
      <c r="H152" s="25"/>
      <c r="I152" s="25"/>
      <c r="J152" s="25"/>
      <c r="K152" s="25"/>
      <c r="L152" s="25"/>
      <c r="M152" s="25"/>
      <c r="N152" s="25"/>
      <c r="O152" s="25"/>
    </row>
    <row r="153" spans="2:15" x14ac:dyDescent="0.3">
      <c r="B153" s="25"/>
      <c r="C153" s="25"/>
      <c r="D153" s="25"/>
      <c r="E153" s="25"/>
      <c r="F153" s="25"/>
      <c r="G153" s="25"/>
      <c r="H153" s="25"/>
      <c r="I153" s="25"/>
      <c r="J153" s="25"/>
      <c r="K153" s="25"/>
      <c r="L153" s="25"/>
      <c r="M153" s="25"/>
      <c r="N153" s="25"/>
      <c r="O153" s="25"/>
    </row>
    <row r="154" spans="2:15" x14ac:dyDescent="0.3">
      <c r="B154" s="25"/>
      <c r="C154" s="25"/>
      <c r="D154" s="25"/>
      <c r="E154" s="25"/>
      <c r="F154" s="25"/>
      <c r="G154" s="25"/>
      <c r="H154" s="25"/>
      <c r="I154" s="25"/>
      <c r="J154" s="25"/>
      <c r="K154" s="25"/>
      <c r="L154" s="25"/>
      <c r="M154" s="25"/>
      <c r="N154" s="25"/>
      <c r="O154" s="25"/>
    </row>
    <row r="155" spans="2:15" x14ac:dyDescent="0.3">
      <c r="B155" s="25"/>
      <c r="C155" s="25"/>
      <c r="D155" s="25"/>
      <c r="E155" s="25"/>
      <c r="F155" s="25"/>
      <c r="G155" s="25"/>
      <c r="H155" s="25"/>
      <c r="I155" s="25"/>
      <c r="J155" s="25"/>
      <c r="K155" s="25"/>
      <c r="L155" s="25"/>
      <c r="M155" s="25"/>
      <c r="N155" s="25"/>
      <c r="O155" s="25"/>
    </row>
    <row r="156" spans="2:15" x14ac:dyDescent="0.3">
      <c r="B156" s="25"/>
      <c r="C156" s="25"/>
      <c r="D156" s="25"/>
      <c r="E156" s="25"/>
      <c r="F156" s="25"/>
      <c r="G156" s="25"/>
      <c r="H156" s="25"/>
      <c r="I156" s="25"/>
      <c r="J156" s="25"/>
      <c r="K156" s="25"/>
      <c r="L156" s="25"/>
      <c r="M156" s="25"/>
      <c r="N156" s="25"/>
      <c r="O156" s="25"/>
    </row>
    <row r="157" spans="2:15" x14ac:dyDescent="0.3">
      <c r="B157" s="25"/>
      <c r="C157" s="25"/>
      <c r="D157" s="25"/>
      <c r="E157" s="25"/>
      <c r="F157" s="25"/>
      <c r="G157" s="25"/>
      <c r="H157" s="25"/>
      <c r="I157" s="25"/>
      <c r="J157" s="25"/>
      <c r="K157" s="25"/>
      <c r="L157" s="25"/>
      <c r="M157" s="25"/>
      <c r="N157" s="25"/>
      <c r="O157" s="25"/>
    </row>
    <row r="158" spans="2:15" x14ac:dyDescent="0.3">
      <c r="B158" s="25"/>
      <c r="C158" s="25"/>
      <c r="D158" s="25"/>
      <c r="E158" s="25"/>
      <c r="F158" s="25"/>
      <c r="G158" s="25"/>
      <c r="H158" s="25"/>
      <c r="I158" s="25"/>
      <c r="J158" s="25"/>
      <c r="K158" s="25"/>
      <c r="L158" s="25"/>
      <c r="M158" s="25"/>
      <c r="N158" s="25"/>
      <c r="O158" s="25"/>
    </row>
    <row r="159" spans="2:15" x14ac:dyDescent="0.3">
      <c r="B159" s="25"/>
      <c r="C159" s="25"/>
      <c r="D159" s="25"/>
      <c r="E159" s="25"/>
      <c r="F159" s="25"/>
      <c r="G159" s="25"/>
      <c r="H159" s="25"/>
      <c r="I159" s="25"/>
      <c r="J159" s="25"/>
      <c r="K159" s="25"/>
      <c r="L159" s="25"/>
      <c r="M159" s="25"/>
      <c r="N159" s="25"/>
      <c r="O159" s="25"/>
    </row>
    <row r="160" spans="2:15" x14ac:dyDescent="0.3">
      <c r="B160" s="25"/>
      <c r="C160" s="25"/>
      <c r="D160" s="25"/>
      <c r="E160" s="25"/>
      <c r="F160" s="25"/>
      <c r="G160" s="25"/>
      <c r="H160" s="25"/>
      <c r="I160" s="25"/>
      <c r="J160" s="25"/>
      <c r="K160" s="25"/>
      <c r="L160" s="25"/>
      <c r="M160" s="25"/>
      <c r="N160" s="25"/>
      <c r="O160" s="25"/>
    </row>
    <row r="161" spans="2:15" x14ac:dyDescent="0.3">
      <c r="B161" s="25"/>
      <c r="C161" s="25"/>
      <c r="D161" s="25"/>
      <c r="E161" s="25"/>
      <c r="F161" s="25"/>
      <c r="G161" s="25"/>
      <c r="H161" s="25"/>
      <c r="I161" s="25"/>
      <c r="J161" s="25"/>
      <c r="K161" s="25"/>
      <c r="L161" s="25"/>
      <c r="M161" s="25"/>
      <c r="N161" s="25"/>
      <c r="O161" s="25"/>
    </row>
    <row r="162" spans="2:15" x14ac:dyDescent="0.3">
      <c r="B162" s="25"/>
      <c r="C162" s="25"/>
      <c r="D162" s="25"/>
      <c r="E162" s="25"/>
      <c r="F162" s="25"/>
      <c r="G162" s="25"/>
      <c r="H162" s="25"/>
      <c r="I162" s="25"/>
      <c r="J162" s="25"/>
      <c r="K162" s="25"/>
      <c r="L162" s="25"/>
      <c r="M162" s="25"/>
      <c r="N162" s="25"/>
      <c r="O162" s="25"/>
    </row>
    <row r="163" spans="2:15" x14ac:dyDescent="0.3">
      <c r="B163" s="25"/>
      <c r="C163" s="25"/>
      <c r="D163" s="25"/>
      <c r="E163" s="25"/>
      <c r="F163" s="25"/>
      <c r="G163" s="25"/>
      <c r="H163" s="25"/>
      <c r="I163" s="25"/>
      <c r="J163" s="25"/>
      <c r="K163" s="25"/>
      <c r="L163" s="25"/>
      <c r="M163" s="25"/>
      <c r="N163" s="25"/>
      <c r="O163" s="25"/>
    </row>
    <row r="164" spans="2:15" x14ac:dyDescent="0.3">
      <c r="B164" s="25"/>
      <c r="C164" s="25"/>
      <c r="D164" s="25"/>
      <c r="E164" s="25"/>
      <c r="F164" s="25"/>
      <c r="G164" s="25"/>
      <c r="H164" s="25"/>
      <c r="I164" s="25"/>
      <c r="J164" s="25"/>
      <c r="K164" s="25"/>
      <c r="L164" s="25"/>
      <c r="M164" s="25"/>
      <c r="N164" s="25"/>
      <c r="O164" s="25"/>
    </row>
    <row r="165" spans="2:15" x14ac:dyDescent="0.3">
      <c r="B165" s="25"/>
      <c r="C165" s="25"/>
      <c r="D165" s="25"/>
      <c r="E165" s="25"/>
      <c r="F165" s="25"/>
      <c r="G165" s="25"/>
      <c r="H165" s="25"/>
      <c r="I165" s="25"/>
      <c r="J165" s="25"/>
      <c r="K165" s="25"/>
      <c r="L165" s="25"/>
      <c r="M165" s="25"/>
      <c r="N165" s="25"/>
      <c r="O165" s="25"/>
    </row>
    <row r="166" spans="2:15" x14ac:dyDescent="0.3">
      <c r="B166" s="25"/>
      <c r="C166" s="25"/>
      <c r="D166" s="25"/>
      <c r="E166" s="25"/>
      <c r="F166" s="25"/>
      <c r="G166" s="25"/>
      <c r="H166" s="25"/>
      <c r="I166" s="25"/>
      <c r="J166" s="25"/>
      <c r="K166" s="25"/>
      <c r="L166" s="25"/>
      <c r="M166" s="25"/>
      <c r="N166" s="25"/>
      <c r="O166" s="25"/>
    </row>
    <row r="167" spans="2:15" x14ac:dyDescent="0.3">
      <c r="B167" s="25"/>
      <c r="C167" s="25"/>
      <c r="D167" s="25"/>
      <c r="E167" s="25"/>
      <c r="F167" s="25"/>
      <c r="G167" s="25"/>
      <c r="H167" s="25"/>
      <c r="I167" s="25"/>
      <c r="J167" s="25"/>
      <c r="K167" s="25"/>
      <c r="L167" s="25"/>
      <c r="M167" s="25"/>
      <c r="N167" s="25"/>
      <c r="O167" s="25"/>
    </row>
    <row r="168" spans="2:15" x14ac:dyDescent="0.3">
      <c r="B168" s="25"/>
      <c r="C168" s="25"/>
      <c r="D168" s="25"/>
      <c r="E168" s="25"/>
      <c r="F168" s="25"/>
      <c r="G168" s="25"/>
      <c r="H168" s="25"/>
      <c r="I168" s="25"/>
      <c r="J168" s="25"/>
      <c r="K168" s="25"/>
      <c r="L168" s="25"/>
      <c r="M168" s="25"/>
      <c r="N168" s="25"/>
      <c r="O168" s="25"/>
    </row>
    <row r="169" spans="2:15" x14ac:dyDescent="0.3">
      <c r="B169" s="25"/>
      <c r="C169" s="25"/>
      <c r="D169" s="25"/>
      <c r="E169" s="25"/>
      <c r="F169" s="25"/>
      <c r="G169" s="25"/>
      <c r="H169" s="25"/>
      <c r="I169" s="25"/>
      <c r="J169" s="25"/>
      <c r="K169" s="25"/>
      <c r="L169" s="25"/>
      <c r="M169" s="25"/>
      <c r="N169" s="25"/>
      <c r="O169" s="25"/>
    </row>
    <row r="170" spans="2:15" x14ac:dyDescent="0.3">
      <c r="B170" s="25"/>
      <c r="C170" s="25"/>
      <c r="D170" s="25"/>
      <c r="E170" s="25"/>
      <c r="F170" s="25"/>
      <c r="G170" s="25"/>
      <c r="H170" s="25"/>
      <c r="I170" s="25"/>
      <c r="J170" s="25"/>
      <c r="K170" s="25"/>
      <c r="L170" s="25"/>
      <c r="M170" s="25"/>
      <c r="N170" s="25"/>
      <c r="O170" s="25"/>
    </row>
    <row r="171" spans="2:15" x14ac:dyDescent="0.3">
      <c r="B171" s="25"/>
      <c r="C171" s="25"/>
      <c r="D171" s="25"/>
      <c r="E171" s="25"/>
      <c r="F171" s="25"/>
      <c r="G171" s="25"/>
      <c r="H171" s="25"/>
      <c r="I171" s="25"/>
      <c r="J171" s="25"/>
      <c r="K171" s="25"/>
      <c r="L171" s="25"/>
      <c r="M171" s="25"/>
      <c r="N171" s="25"/>
      <c r="O171" s="25"/>
    </row>
    <row r="172" spans="2:15" x14ac:dyDescent="0.3">
      <c r="B172" s="25"/>
      <c r="C172" s="25"/>
      <c r="D172" s="25"/>
      <c r="E172" s="25"/>
      <c r="F172" s="25"/>
      <c r="G172" s="25"/>
      <c r="H172" s="25"/>
      <c r="I172" s="25"/>
      <c r="J172" s="25"/>
      <c r="K172" s="25"/>
      <c r="L172" s="25"/>
      <c r="M172" s="25"/>
      <c r="N172" s="25"/>
      <c r="O172" s="25"/>
    </row>
    <row r="173" spans="2:15" x14ac:dyDescent="0.3">
      <c r="B173" s="25"/>
      <c r="C173" s="25"/>
      <c r="D173" s="25"/>
      <c r="E173" s="25"/>
      <c r="F173" s="25"/>
      <c r="G173" s="25"/>
      <c r="H173" s="25"/>
      <c r="I173" s="25"/>
      <c r="J173" s="25"/>
      <c r="K173" s="25"/>
      <c r="L173" s="25"/>
      <c r="M173" s="25"/>
      <c r="N173" s="25"/>
      <c r="O173" s="25"/>
    </row>
    <row r="174" spans="2:15" x14ac:dyDescent="0.3">
      <c r="B174" s="25"/>
      <c r="C174" s="25"/>
      <c r="D174" s="25"/>
      <c r="E174" s="25"/>
      <c r="F174" s="25"/>
      <c r="G174" s="25"/>
      <c r="H174" s="25"/>
      <c r="I174" s="25"/>
      <c r="J174" s="25"/>
      <c r="K174" s="25"/>
      <c r="L174" s="25"/>
      <c r="M174" s="25"/>
      <c r="N174" s="25"/>
      <c r="O174" s="25"/>
    </row>
    <row r="175" spans="2:15" x14ac:dyDescent="0.3">
      <c r="B175" s="25"/>
      <c r="C175" s="25"/>
      <c r="D175" s="25"/>
      <c r="E175" s="25"/>
      <c r="F175" s="25"/>
      <c r="G175" s="25"/>
      <c r="H175" s="25"/>
      <c r="I175" s="25"/>
      <c r="J175" s="25"/>
      <c r="K175" s="25"/>
      <c r="L175" s="25"/>
      <c r="M175" s="25"/>
      <c r="N175" s="25"/>
      <c r="O175" s="25"/>
    </row>
    <row r="176" spans="2:15" x14ac:dyDescent="0.3">
      <c r="B176" s="25"/>
      <c r="C176" s="25"/>
      <c r="D176" s="25"/>
      <c r="E176" s="25"/>
      <c r="F176" s="25"/>
      <c r="G176" s="25"/>
      <c r="H176" s="25"/>
      <c r="I176" s="25"/>
      <c r="J176" s="25"/>
      <c r="K176" s="25"/>
      <c r="L176" s="25"/>
      <c r="M176" s="25"/>
      <c r="N176" s="25"/>
      <c r="O176" s="25"/>
    </row>
    <row r="177" spans="2:15" x14ac:dyDescent="0.3">
      <c r="B177" s="25"/>
      <c r="C177" s="25"/>
      <c r="D177" s="25"/>
      <c r="E177" s="25"/>
      <c r="F177" s="25"/>
      <c r="G177" s="25"/>
      <c r="H177" s="25"/>
      <c r="I177" s="25"/>
      <c r="J177" s="25"/>
      <c r="K177" s="25"/>
      <c r="L177" s="25"/>
      <c r="M177" s="25"/>
      <c r="N177" s="25"/>
      <c r="O177" s="25"/>
    </row>
    <row r="178" spans="2:15" x14ac:dyDescent="0.3">
      <c r="B178" s="25"/>
      <c r="C178" s="25"/>
      <c r="D178" s="25"/>
      <c r="E178" s="25"/>
      <c r="F178" s="25"/>
      <c r="G178" s="25"/>
      <c r="H178" s="25"/>
      <c r="I178" s="25"/>
      <c r="J178" s="25"/>
      <c r="K178" s="25"/>
      <c r="L178" s="25"/>
      <c r="M178" s="25"/>
      <c r="N178" s="25"/>
      <c r="O178" s="25"/>
    </row>
    <row r="179" spans="2:15" x14ac:dyDescent="0.3">
      <c r="B179" s="25"/>
      <c r="C179" s="25"/>
      <c r="D179" s="25"/>
      <c r="E179" s="25"/>
      <c r="F179" s="25"/>
      <c r="G179" s="25"/>
      <c r="H179" s="25"/>
      <c r="I179" s="25"/>
      <c r="J179" s="25"/>
      <c r="K179" s="25"/>
      <c r="L179" s="25"/>
      <c r="M179" s="25"/>
      <c r="N179" s="25"/>
      <c r="O179" s="25"/>
    </row>
    <row r="180" spans="2:15" x14ac:dyDescent="0.3">
      <c r="B180" s="25"/>
      <c r="C180" s="25"/>
      <c r="D180" s="25"/>
      <c r="E180" s="25"/>
      <c r="F180" s="25"/>
      <c r="G180" s="25"/>
      <c r="H180" s="25"/>
      <c r="I180" s="25"/>
      <c r="J180" s="25"/>
      <c r="K180" s="25"/>
      <c r="L180" s="25"/>
      <c r="M180" s="25"/>
      <c r="N180" s="25"/>
      <c r="O180" s="25"/>
    </row>
    <row r="181" spans="2:15" x14ac:dyDescent="0.3">
      <c r="B181" s="25"/>
      <c r="C181" s="25"/>
      <c r="D181" s="25"/>
      <c r="E181" s="25"/>
      <c r="F181" s="25"/>
      <c r="G181" s="25"/>
      <c r="H181" s="25"/>
      <c r="I181" s="25"/>
      <c r="J181" s="25"/>
      <c r="K181" s="25"/>
      <c r="L181" s="25"/>
      <c r="M181" s="25"/>
      <c r="N181" s="25"/>
      <c r="O181" s="25"/>
    </row>
    <row r="182" spans="2:15" x14ac:dyDescent="0.3">
      <c r="B182" s="25"/>
      <c r="C182" s="25"/>
      <c r="D182" s="25"/>
      <c r="E182" s="25"/>
      <c r="F182" s="25"/>
      <c r="G182" s="25"/>
      <c r="H182" s="25"/>
      <c r="I182" s="25"/>
      <c r="J182" s="25"/>
      <c r="K182" s="25"/>
      <c r="L182" s="25"/>
      <c r="M182" s="25"/>
      <c r="N182" s="25"/>
      <c r="O182" s="25"/>
    </row>
    <row r="183" spans="2:15" x14ac:dyDescent="0.3">
      <c r="B183" s="25"/>
      <c r="C183" s="25"/>
      <c r="D183" s="25"/>
      <c r="E183" s="25"/>
      <c r="F183" s="25"/>
      <c r="G183" s="25"/>
      <c r="H183" s="25"/>
      <c r="I183" s="25"/>
      <c r="J183" s="25"/>
      <c r="K183" s="25"/>
      <c r="L183" s="25"/>
      <c r="M183" s="25"/>
      <c r="N183" s="25"/>
      <c r="O183" s="25"/>
    </row>
    <row r="184" spans="2:15" x14ac:dyDescent="0.3">
      <c r="B184" s="25"/>
      <c r="C184" s="25"/>
      <c r="D184" s="25"/>
      <c r="E184" s="25"/>
      <c r="F184" s="25"/>
      <c r="G184" s="25"/>
      <c r="H184" s="25"/>
      <c r="I184" s="25"/>
      <c r="J184" s="25"/>
      <c r="K184" s="25"/>
      <c r="L184" s="25"/>
      <c r="M184" s="25"/>
      <c r="N184" s="25"/>
      <c r="O184" s="25"/>
    </row>
    <row r="185" spans="2:15" x14ac:dyDescent="0.3">
      <c r="B185" s="25"/>
      <c r="C185" s="25"/>
      <c r="D185" s="25"/>
      <c r="E185" s="25"/>
      <c r="F185" s="25"/>
      <c r="G185" s="25"/>
      <c r="H185" s="25"/>
      <c r="I185" s="25"/>
      <c r="J185" s="25"/>
      <c r="K185" s="25"/>
      <c r="L185" s="25"/>
      <c r="M185" s="25"/>
      <c r="N185" s="25"/>
      <c r="O185" s="25"/>
    </row>
    <row r="186" spans="2:15" x14ac:dyDescent="0.3">
      <c r="B186" s="25"/>
      <c r="C186" s="25"/>
      <c r="D186" s="25"/>
      <c r="E186" s="25"/>
      <c r="F186" s="25"/>
      <c r="G186" s="25"/>
      <c r="H186" s="25"/>
      <c r="I186" s="25"/>
      <c r="J186" s="25"/>
      <c r="K186" s="25"/>
      <c r="L186" s="25"/>
      <c r="M186" s="25"/>
      <c r="N186" s="25"/>
      <c r="O186" s="25"/>
    </row>
    <row r="187" spans="2:15" x14ac:dyDescent="0.3">
      <c r="B187" s="25"/>
      <c r="C187" s="25"/>
      <c r="D187" s="25"/>
      <c r="E187" s="25"/>
      <c r="F187" s="25"/>
      <c r="G187" s="25"/>
      <c r="H187" s="25"/>
      <c r="I187" s="25"/>
      <c r="J187" s="25"/>
      <c r="K187" s="25"/>
      <c r="L187" s="25"/>
      <c r="M187" s="25"/>
      <c r="N187" s="25"/>
      <c r="O187" s="25"/>
    </row>
    <row r="188" spans="2:15" x14ac:dyDescent="0.3">
      <c r="B188" s="25"/>
      <c r="C188" s="25"/>
      <c r="D188" s="25"/>
      <c r="E188" s="25"/>
      <c r="F188" s="25"/>
      <c r="G188" s="25"/>
      <c r="H188" s="25"/>
      <c r="I188" s="25"/>
      <c r="J188" s="25"/>
      <c r="K188" s="25"/>
      <c r="L188" s="25"/>
      <c r="M188" s="25"/>
      <c r="N188" s="25"/>
      <c r="O188" s="25"/>
    </row>
    <row r="189" spans="2:15" x14ac:dyDescent="0.3">
      <c r="B189" s="25"/>
      <c r="C189" s="25"/>
      <c r="D189" s="25"/>
      <c r="E189" s="25"/>
      <c r="F189" s="25"/>
      <c r="G189" s="25"/>
      <c r="H189" s="25"/>
      <c r="I189" s="25"/>
      <c r="J189" s="25"/>
      <c r="K189" s="25"/>
      <c r="L189" s="25"/>
      <c r="M189" s="25"/>
      <c r="N189" s="25"/>
      <c r="O189" s="25"/>
    </row>
    <row r="190" spans="2:15" x14ac:dyDescent="0.3">
      <c r="B190" s="25"/>
      <c r="C190" s="25"/>
      <c r="D190" s="25"/>
      <c r="E190" s="25"/>
      <c r="F190" s="25"/>
      <c r="G190" s="25"/>
      <c r="H190" s="25"/>
      <c r="I190" s="25"/>
      <c r="J190" s="25"/>
      <c r="K190" s="25"/>
      <c r="L190" s="25"/>
      <c r="M190" s="25"/>
      <c r="N190" s="25"/>
      <c r="O190" s="25"/>
    </row>
    <row r="191" spans="2:15" x14ac:dyDescent="0.3">
      <c r="B191" s="25"/>
      <c r="C191" s="25"/>
      <c r="D191" s="25"/>
      <c r="E191" s="25"/>
      <c r="F191" s="25"/>
      <c r="G191" s="25"/>
      <c r="H191" s="25"/>
      <c r="I191" s="25"/>
      <c r="J191" s="25"/>
      <c r="K191" s="25"/>
      <c r="L191" s="25"/>
      <c r="M191" s="25"/>
      <c r="N191" s="25"/>
      <c r="O191" s="25"/>
    </row>
    <row r="192" spans="2:15" x14ac:dyDescent="0.3">
      <c r="B192" s="25"/>
      <c r="C192" s="25"/>
      <c r="D192" s="25"/>
      <c r="E192" s="25"/>
      <c r="F192" s="25"/>
      <c r="G192" s="25"/>
      <c r="H192" s="25"/>
      <c r="I192" s="25"/>
      <c r="J192" s="25"/>
      <c r="K192" s="25"/>
      <c r="L192" s="25"/>
      <c r="M192" s="25"/>
      <c r="N192" s="25"/>
      <c r="O192" s="25"/>
    </row>
    <row r="193" spans="2:15" x14ac:dyDescent="0.3">
      <c r="B193" s="25"/>
      <c r="C193" s="25"/>
      <c r="D193" s="25"/>
      <c r="E193" s="25"/>
      <c r="F193" s="25"/>
      <c r="G193" s="25"/>
      <c r="H193" s="25"/>
      <c r="I193" s="25"/>
      <c r="J193" s="25"/>
      <c r="K193" s="25"/>
      <c r="L193" s="25"/>
      <c r="M193" s="25"/>
      <c r="N193" s="25"/>
      <c r="O193" s="25"/>
    </row>
    <row r="194" spans="2:15" x14ac:dyDescent="0.3">
      <c r="B194" s="25"/>
      <c r="C194" s="25"/>
      <c r="D194" s="25"/>
      <c r="E194" s="25"/>
      <c r="F194" s="25"/>
      <c r="G194" s="25"/>
      <c r="H194" s="25"/>
      <c r="I194" s="25"/>
      <c r="J194" s="25"/>
      <c r="K194" s="25"/>
      <c r="L194" s="25"/>
      <c r="M194" s="25"/>
      <c r="N194" s="25"/>
      <c r="O194" s="25"/>
    </row>
    <row r="195" spans="2:15" x14ac:dyDescent="0.3">
      <c r="B195" s="25"/>
      <c r="C195" s="25"/>
      <c r="D195" s="25"/>
      <c r="E195" s="25"/>
      <c r="F195" s="25"/>
      <c r="G195" s="25"/>
      <c r="H195" s="25"/>
      <c r="I195" s="25"/>
      <c r="J195" s="25"/>
      <c r="K195" s="25"/>
      <c r="L195" s="25"/>
      <c r="M195" s="25"/>
      <c r="N195" s="25"/>
      <c r="O195" s="25"/>
    </row>
    <row r="196" spans="2:15" x14ac:dyDescent="0.3">
      <c r="B196" s="25"/>
      <c r="C196" s="25"/>
      <c r="D196" s="25"/>
      <c r="E196" s="25"/>
      <c r="F196" s="25"/>
      <c r="G196" s="25"/>
      <c r="H196" s="25"/>
      <c r="I196" s="25"/>
      <c r="J196" s="25"/>
      <c r="K196" s="25"/>
      <c r="L196" s="25"/>
      <c r="M196" s="25"/>
      <c r="N196" s="25"/>
      <c r="O196" s="25"/>
    </row>
    <row r="197" spans="2:15" x14ac:dyDescent="0.3">
      <c r="B197" s="25"/>
      <c r="C197" s="25"/>
      <c r="D197" s="25"/>
      <c r="E197" s="25"/>
      <c r="F197" s="25"/>
      <c r="G197" s="25"/>
      <c r="H197" s="25"/>
      <c r="I197" s="25"/>
      <c r="J197" s="25"/>
      <c r="K197" s="25"/>
      <c r="L197" s="25"/>
      <c r="M197" s="25"/>
      <c r="N197" s="25"/>
      <c r="O197" s="25"/>
    </row>
    <row r="198" spans="2:15" x14ac:dyDescent="0.3">
      <c r="B198" s="25"/>
      <c r="C198" s="25"/>
      <c r="D198" s="25"/>
      <c r="E198" s="25"/>
      <c r="F198" s="25"/>
      <c r="G198" s="25"/>
      <c r="H198" s="25"/>
      <c r="I198" s="25"/>
      <c r="J198" s="25"/>
      <c r="K198" s="25"/>
      <c r="L198" s="25"/>
      <c r="M198" s="25"/>
      <c r="N198" s="25"/>
      <c r="O198" s="25"/>
    </row>
    <row r="199" spans="2:15" x14ac:dyDescent="0.3">
      <c r="B199" s="25"/>
      <c r="C199" s="25"/>
      <c r="D199" s="25"/>
      <c r="E199" s="25"/>
      <c r="F199" s="25"/>
      <c r="G199" s="25"/>
      <c r="H199" s="25"/>
      <c r="I199" s="25"/>
      <c r="J199" s="25"/>
      <c r="K199" s="25"/>
      <c r="L199" s="25"/>
      <c r="M199" s="25"/>
      <c r="N199" s="25"/>
      <c r="O199" s="25"/>
    </row>
    <row r="200" spans="2:15" x14ac:dyDescent="0.3">
      <c r="B200" s="25"/>
      <c r="C200" s="25"/>
      <c r="D200" s="25"/>
      <c r="E200" s="25"/>
      <c r="F200" s="25"/>
      <c r="G200" s="25"/>
      <c r="H200" s="25"/>
      <c r="I200" s="25"/>
      <c r="J200" s="25"/>
      <c r="K200" s="25"/>
      <c r="L200" s="25"/>
      <c r="M200" s="25"/>
      <c r="N200" s="25"/>
      <c r="O200" s="25"/>
    </row>
    <row r="201" spans="2:15" x14ac:dyDescent="0.3">
      <c r="B201" s="25"/>
      <c r="C201" s="25"/>
      <c r="D201" s="25"/>
      <c r="E201" s="25"/>
      <c r="F201" s="25"/>
      <c r="G201" s="25"/>
      <c r="H201" s="25"/>
      <c r="I201" s="25"/>
      <c r="J201" s="25"/>
      <c r="K201" s="25"/>
      <c r="L201" s="25"/>
      <c r="M201" s="25"/>
      <c r="N201" s="25"/>
      <c r="O201" s="25"/>
    </row>
    <row r="202" spans="2:15" x14ac:dyDescent="0.3">
      <c r="B202" s="25"/>
      <c r="C202" s="25"/>
      <c r="D202" s="25"/>
      <c r="E202" s="25"/>
      <c r="F202" s="25"/>
      <c r="G202" s="25"/>
      <c r="H202" s="25"/>
      <c r="I202" s="25"/>
      <c r="J202" s="25"/>
      <c r="K202" s="25"/>
      <c r="L202" s="25"/>
      <c r="M202" s="25"/>
      <c r="N202" s="25"/>
      <c r="O202" s="25"/>
    </row>
    <row r="203" spans="2:15" x14ac:dyDescent="0.3">
      <c r="B203" s="25"/>
      <c r="C203" s="25"/>
      <c r="D203" s="25"/>
      <c r="E203" s="25"/>
      <c r="F203" s="25"/>
      <c r="G203" s="25"/>
      <c r="H203" s="25"/>
      <c r="I203" s="25"/>
      <c r="J203" s="25"/>
      <c r="K203" s="25"/>
      <c r="L203" s="25"/>
      <c r="M203" s="25"/>
      <c r="N203" s="25"/>
      <c r="O203" s="25"/>
    </row>
    <row r="204" spans="2:15" x14ac:dyDescent="0.3">
      <c r="B204" s="25"/>
      <c r="C204" s="25"/>
      <c r="D204" s="25"/>
      <c r="E204" s="25"/>
      <c r="F204" s="25"/>
      <c r="G204" s="25"/>
      <c r="H204" s="25"/>
      <c r="I204" s="25"/>
      <c r="J204" s="25"/>
      <c r="K204" s="25"/>
      <c r="L204" s="25"/>
      <c r="M204" s="25"/>
      <c r="N204" s="25"/>
      <c r="O204" s="25"/>
    </row>
    <row r="205" spans="2:15" x14ac:dyDescent="0.3">
      <c r="B205" s="25"/>
      <c r="C205" s="25"/>
      <c r="D205" s="25"/>
      <c r="E205" s="25"/>
      <c r="F205" s="25"/>
      <c r="G205" s="25"/>
      <c r="H205" s="25"/>
      <c r="I205" s="25"/>
      <c r="J205" s="25"/>
      <c r="K205" s="25"/>
      <c r="L205" s="25"/>
      <c r="M205" s="25"/>
      <c r="N205" s="25"/>
      <c r="O205" s="25"/>
    </row>
    <row r="206" spans="2:15" x14ac:dyDescent="0.3">
      <c r="B206" s="25"/>
      <c r="C206" s="25"/>
      <c r="D206" s="25"/>
      <c r="E206" s="25"/>
      <c r="F206" s="25"/>
      <c r="G206" s="25"/>
      <c r="H206" s="25"/>
      <c r="I206" s="25"/>
      <c r="J206" s="25"/>
      <c r="K206" s="25"/>
      <c r="L206" s="25"/>
      <c r="M206" s="25"/>
      <c r="N206" s="25"/>
      <c r="O206" s="25"/>
    </row>
    <row r="207" spans="2:15" x14ac:dyDescent="0.3">
      <c r="B207" s="25"/>
      <c r="C207" s="25"/>
      <c r="D207" s="25"/>
      <c r="E207" s="25"/>
      <c r="F207" s="25"/>
      <c r="G207" s="25"/>
      <c r="H207" s="25"/>
      <c r="I207" s="25"/>
      <c r="J207" s="25"/>
      <c r="K207" s="25"/>
      <c r="L207" s="25"/>
      <c r="M207" s="25"/>
      <c r="N207" s="25"/>
      <c r="O207" s="25"/>
    </row>
    <row r="208" spans="2:15" x14ac:dyDescent="0.3">
      <c r="B208" s="25"/>
      <c r="C208" s="25"/>
      <c r="D208" s="25"/>
      <c r="E208" s="25"/>
      <c r="F208" s="25"/>
      <c r="G208" s="25"/>
      <c r="H208" s="25"/>
      <c r="I208" s="25"/>
      <c r="J208" s="25"/>
      <c r="K208" s="25"/>
      <c r="L208" s="25"/>
      <c r="M208" s="25"/>
      <c r="N208" s="25"/>
      <c r="O208" s="25"/>
    </row>
    <row r="209" spans="2:15" x14ac:dyDescent="0.3">
      <c r="B209" s="25"/>
      <c r="C209" s="25"/>
      <c r="D209" s="25"/>
      <c r="E209" s="25"/>
      <c r="F209" s="25"/>
      <c r="G209" s="25"/>
      <c r="H209" s="25"/>
      <c r="I209" s="25"/>
      <c r="J209" s="25"/>
      <c r="K209" s="25"/>
      <c r="L209" s="25"/>
      <c r="M209" s="25"/>
      <c r="N209" s="25"/>
      <c r="O209" s="25"/>
    </row>
    <row r="210" spans="2:15" x14ac:dyDescent="0.3">
      <c r="B210" s="25"/>
      <c r="C210" s="25"/>
      <c r="D210" s="25"/>
      <c r="E210" s="25"/>
      <c r="F210" s="25"/>
      <c r="G210" s="25"/>
      <c r="H210" s="25"/>
      <c r="I210" s="25"/>
      <c r="J210" s="25"/>
      <c r="K210" s="25"/>
      <c r="L210" s="25"/>
      <c r="M210" s="25"/>
      <c r="N210" s="25"/>
      <c r="O210" s="25"/>
    </row>
    <row r="211" spans="2:15" x14ac:dyDescent="0.3">
      <c r="B211" s="25"/>
      <c r="C211" s="25"/>
      <c r="D211" s="25"/>
      <c r="E211" s="25"/>
      <c r="F211" s="25"/>
      <c r="G211" s="25"/>
      <c r="H211" s="25"/>
      <c r="I211" s="25"/>
      <c r="J211" s="25"/>
      <c r="K211" s="25"/>
      <c r="L211" s="25"/>
      <c r="M211" s="25"/>
      <c r="N211" s="25"/>
      <c r="O211" s="25"/>
    </row>
    <row r="212" spans="2:15" x14ac:dyDescent="0.3">
      <c r="B212" s="25"/>
      <c r="C212" s="25"/>
      <c r="D212" s="25"/>
      <c r="E212" s="25"/>
      <c r="F212" s="25"/>
      <c r="G212" s="25"/>
      <c r="H212" s="25"/>
      <c r="I212" s="25"/>
      <c r="J212" s="25"/>
      <c r="K212" s="25"/>
      <c r="L212" s="25"/>
      <c r="M212" s="25"/>
      <c r="N212" s="25"/>
      <c r="O212" s="25"/>
    </row>
    <row r="213" spans="2:15" x14ac:dyDescent="0.3">
      <c r="B213" s="25"/>
      <c r="C213" s="25"/>
      <c r="D213" s="25"/>
      <c r="E213" s="25"/>
      <c r="F213" s="25"/>
      <c r="G213" s="25"/>
      <c r="H213" s="25"/>
      <c r="I213" s="25"/>
      <c r="J213" s="25"/>
      <c r="K213" s="25"/>
      <c r="L213" s="25"/>
      <c r="M213" s="25"/>
      <c r="N213" s="25"/>
      <c r="O213" s="25"/>
    </row>
    <row r="214" spans="2:15" x14ac:dyDescent="0.3">
      <c r="B214" s="25"/>
      <c r="C214" s="25"/>
      <c r="D214" s="25"/>
      <c r="E214" s="25"/>
      <c r="F214" s="25"/>
      <c r="G214" s="25"/>
      <c r="H214" s="25"/>
      <c r="I214" s="25"/>
      <c r="J214" s="25"/>
      <c r="K214" s="25"/>
      <c r="L214" s="25"/>
      <c r="M214" s="25"/>
      <c r="N214" s="25"/>
      <c r="O214" s="25"/>
    </row>
    <row r="215" spans="2:15" x14ac:dyDescent="0.3">
      <c r="B215" s="25"/>
      <c r="C215" s="25"/>
      <c r="D215" s="25"/>
      <c r="E215" s="25"/>
      <c r="F215" s="25"/>
      <c r="G215" s="25"/>
      <c r="H215" s="25"/>
      <c r="I215" s="25"/>
      <c r="J215" s="25"/>
      <c r="K215" s="25"/>
      <c r="L215" s="25"/>
      <c r="M215" s="25"/>
      <c r="N215" s="25"/>
      <c r="O215" s="25"/>
    </row>
    <row r="216" spans="2:15" x14ac:dyDescent="0.3">
      <c r="B216" s="25"/>
      <c r="C216" s="25"/>
      <c r="D216" s="25"/>
      <c r="E216" s="25"/>
      <c r="F216" s="25"/>
      <c r="G216" s="25"/>
      <c r="H216" s="25"/>
      <c r="I216" s="25"/>
      <c r="J216" s="25"/>
      <c r="K216" s="25"/>
      <c r="L216" s="25"/>
      <c r="M216" s="25"/>
      <c r="N216" s="25"/>
      <c r="O216" s="25"/>
    </row>
    <row r="217" spans="2:15" x14ac:dyDescent="0.3">
      <c r="B217" s="25"/>
      <c r="C217" s="25"/>
      <c r="D217" s="25"/>
      <c r="E217" s="25"/>
      <c r="F217" s="25"/>
      <c r="G217" s="25"/>
      <c r="H217" s="25"/>
      <c r="I217" s="25"/>
      <c r="J217" s="25"/>
      <c r="K217" s="25"/>
      <c r="L217" s="25"/>
      <c r="M217" s="25"/>
      <c r="N217" s="25"/>
      <c r="O217" s="25"/>
    </row>
    <row r="218" spans="2:15" x14ac:dyDescent="0.3">
      <c r="B218" s="25"/>
      <c r="C218" s="25"/>
      <c r="D218" s="25"/>
      <c r="E218" s="25"/>
      <c r="F218" s="25"/>
      <c r="G218" s="25"/>
      <c r="H218" s="25"/>
      <c r="I218" s="25"/>
      <c r="J218" s="25"/>
      <c r="K218" s="25"/>
      <c r="L218" s="25"/>
      <c r="M218" s="25"/>
      <c r="N218" s="25"/>
      <c r="O218" s="25"/>
    </row>
    <row r="219" spans="2:15" x14ac:dyDescent="0.3">
      <c r="B219" s="25"/>
      <c r="C219" s="25"/>
      <c r="D219" s="25"/>
      <c r="E219" s="25"/>
      <c r="F219" s="25"/>
      <c r="G219" s="25"/>
      <c r="H219" s="25"/>
      <c r="I219" s="25"/>
      <c r="J219" s="25"/>
      <c r="K219" s="25"/>
      <c r="L219" s="25"/>
      <c r="M219" s="25"/>
      <c r="N219" s="25"/>
      <c r="O219" s="25"/>
    </row>
    <row r="220" spans="2:15" x14ac:dyDescent="0.3">
      <c r="B220" s="25"/>
      <c r="C220" s="25"/>
      <c r="D220" s="25"/>
      <c r="E220" s="25"/>
      <c r="F220" s="25"/>
      <c r="G220" s="25"/>
      <c r="H220" s="25"/>
      <c r="I220" s="25"/>
      <c r="J220" s="25"/>
      <c r="K220" s="25"/>
      <c r="L220" s="25"/>
      <c r="M220" s="25"/>
      <c r="N220" s="25"/>
      <c r="O220" s="25"/>
    </row>
    <row r="221" spans="2:15" x14ac:dyDescent="0.3">
      <c r="B221" s="25"/>
      <c r="C221" s="25"/>
      <c r="D221" s="25"/>
      <c r="E221" s="25"/>
      <c r="F221" s="25"/>
      <c r="G221" s="25"/>
      <c r="H221" s="25"/>
      <c r="I221" s="25"/>
      <c r="J221" s="25"/>
      <c r="K221" s="25"/>
      <c r="L221" s="25"/>
      <c r="M221" s="25"/>
      <c r="N221" s="25"/>
      <c r="O221" s="25"/>
    </row>
    <row r="222" spans="2:15" x14ac:dyDescent="0.3">
      <c r="B222" s="25"/>
      <c r="C222" s="25"/>
      <c r="D222" s="25"/>
      <c r="E222" s="25"/>
      <c r="F222" s="25"/>
      <c r="G222" s="25"/>
      <c r="H222" s="25"/>
      <c r="I222" s="25"/>
      <c r="J222" s="25"/>
      <c r="K222" s="25"/>
      <c r="L222" s="25"/>
      <c r="M222" s="25"/>
      <c r="N222" s="25"/>
      <c r="O222" s="25"/>
    </row>
    <row r="223" spans="2:15" x14ac:dyDescent="0.3">
      <c r="B223" s="25"/>
      <c r="C223" s="25"/>
      <c r="D223" s="25"/>
      <c r="E223" s="25"/>
      <c r="F223" s="25"/>
      <c r="G223" s="25"/>
      <c r="H223" s="25"/>
      <c r="I223" s="25"/>
      <c r="J223" s="25"/>
      <c r="K223" s="25"/>
      <c r="L223" s="25"/>
      <c r="M223" s="25"/>
      <c r="N223" s="25"/>
      <c r="O223" s="25"/>
    </row>
    <row r="224" spans="2:15" x14ac:dyDescent="0.3">
      <c r="B224" s="25"/>
      <c r="C224" s="25"/>
      <c r="D224" s="25"/>
      <c r="E224" s="25"/>
      <c r="F224" s="25"/>
      <c r="G224" s="25"/>
      <c r="H224" s="25"/>
      <c r="I224" s="25"/>
      <c r="J224" s="25"/>
      <c r="K224" s="25"/>
      <c r="L224" s="25"/>
      <c r="M224" s="25"/>
      <c r="N224" s="25"/>
      <c r="O224" s="25"/>
    </row>
    <row r="225" spans="2:15" x14ac:dyDescent="0.3">
      <c r="B225" s="25"/>
      <c r="C225" s="25"/>
      <c r="D225" s="25"/>
      <c r="E225" s="25"/>
      <c r="F225" s="25"/>
      <c r="G225" s="25"/>
      <c r="H225" s="25"/>
      <c r="I225" s="25"/>
      <c r="J225" s="25"/>
      <c r="K225" s="25"/>
      <c r="L225" s="25"/>
      <c r="M225" s="25"/>
      <c r="N225" s="25"/>
      <c r="O225" s="25"/>
    </row>
    <row r="226" spans="2:15" x14ac:dyDescent="0.3">
      <c r="B226" s="25"/>
      <c r="C226" s="25"/>
      <c r="D226" s="25"/>
      <c r="E226" s="25"/>
      <c r="F226" s="25"/>
      <c r="G226" s="25"/>
      <c r="H226" s="25"/>
      <c r="I226" s="25"/>
      <c r="J226" s="25"/>
      <c r="K226" s="25"/>
      <c r="L226" s="25"/>
      <c r="M226" s="25"/>
      <c r="N226" s="25"/>
      <c r="O226" s="25"/>
    </row>
    <row r="227" spans="2:15" x14ac:dyDescent="0.3">
      <c r="B227" s="25"/>
      <c r="C227" s="25"/>
      <c r="D227" s="25"/>
      <c r="E227" s="25"/>
      <c r="F227" s="25"/>
      <c r="G227" s="25"/>
      <c r="H227" s="25"/>
      <c r="I227" s="25"/>
      <c r="J227" s="25"/>
      <c r="K227" s="25"/>
      <c r="L227" s="25"/>
      <c r="M227" s="25"/>
      <c r="N227" s="25"/>
      <c r="O227" s="25"/>
    </row>
    <row r="228" spans="2:15" x14ac:dyDescent="0.3">
      <c r="B228" s="25"/>
      <c r="C228" s="25"/>
      <c r="D228" s="25"/>
      <c r="E228" s="25"/>
      <c r="F228" s="25"/>
      <c r="G228" s="25"/>
      <c r="H228" s="25"/>
      <c r="I228" s="25"/>
      <c r="J228" s="25"/>
      <c r="K228" s="25"/>
      <c r="L228" s="25"/>
      <c r="M228" s="25"/>
      <c r="N228" s="25"/>
      <c r="O228" s="25"/>
    </row>
    <row r="229" spans="2:15" x14ac:dyDescent="0.3">
      <c r="B229" s="25"/>
      <c r="C229" s="25"/>
      <c r="D229" s="25"/>
      <c r="E229" s="25"/>
      <c r="F229" s="25"/>
      <c r="G229" s="25"/>
      <c r="H229" s="25"/>
      <c r="I229" s="25"/>
      <c r="J229" s="25"/>
      <c r="K229" s="25"/>
      <c r="L229" s="25"/>
      <c r="M229" s="25"/>
      <c r="N229" s="25"/>
      <c r="O229" s="25"/>
    </row>
    <row r="230" spans="2:15" x14ac:dyDescent="0.3">
      <c r="B230" s="25"/>
      <c r="C230" s="25"/>
      <c r="D230" s="25"/>
      <c r="E230" s="25"/>
      <c r="F230" s="25"/>
      <c r="G230" s="25"/>
      <c r="H230" s="25"/>
      <c r="I230" s="25"/>
      <c r="J230" s="25"/>
      <c r="K230" s="25"/>
      <c r="L230" s="25"/>
      <c r="M230" s="25"/>
      <c r="N230" s="25"/>
      <c r="O230" s="25"/>
    </row>
    <row r="231" spans="2:15" x14ac:dyDescent="0.3">
      <c r="B231" s="25"/>
      <c r="C231" s="25"/>
      <c r="D231" s="25"/>
      <c r="E231" s="25"/>
      <c r="F231" s="25"/>
      <c r="G231" s="25"/>
      <c r="H231" s="25"/>
      <c r="I231" s="25"/>
      <c r="J231" s="25"/>
      <c r="K231" s="25"/>
      <c r="L231" s="25"/>
      <c r="M231" s="25"/>
      <c r="N231" s="25"/>
      <c r="O231" s="25"/>
    </row>
    <row r="232" spans="2:15" x14ac:dyDescent="0.3">
      <c r="B232" s="25"/>
      <c r="C232" s="25"/>
      <c r="D232" s="25"/>
      <c r="E232" s="25"/>
      <c r="F232" s="25"/>
      <c r="G232" s="25"/>
      <c r="H232" s="25"/>
      <c r="I232" s="25"/>
      <c r="J232" s="25"/>
      <c r="K232" s="25"/>
      <c r="L232" s="25"/>
      <c r="M232" s="25"/>
      <c r="N232" s="25"/>
      <c r="O232" s="25"/>
    </row>
    <row r="233" spans="2:15" x14ac:dyDescent="0.3">
      <c r="B233" s="25"/>
      <c r="C233" s="25"/>
      <c r="D233" s="25"/>
      <c r="E233" s="25"/>
      <c r="F233" s="25"/>
      <c r="G233" s="25"/>
      <c r="H233" s="25"/>
      <c r="I233" s="25"/>
      <c r="J233" s="25"/>
      <c r="K233" s="25"/>
      <c r="L233" s="25"/>
      <c r="M233" s="25"/>
      <c r="N233" s="25"/>
      <c r="O233" s="25"/>
    </row>
    <row r="234" spans="2:15" x14ac:dyDescent="0.3">
      <c r="B234" s="25"/>
      <c r="C234" s="25"/>
      <c r="D234" s="25"/>
      <c r="E234" s="25"/>
      <c r="F234" s="25"/>
      <c r="G234" s="25"/>
      <c r="H234" s="25"/>
      <c r="I234" s="25"/>
      <c r="J234" s="25"/>
      <c r="K234" s="25"/>
      <c r="L234" s="25"/>
      <c r="M234" s="25"/>
      <c r="N234" s="25"/>
      <c r="O234" s="25"/>
    </row>
    <row r="235" spans="2:15" x14ac:dyDescent="0.3">
      <c r="B235" s="25"/>
      <c r="C235" s="25"/>
      <c r="D235" s="25"/>
      <c r="E235" s="25"/>
      <c r="F235" s="25"/>
      <c r="G235" s="25"/>
      <c r="H235" s="25"/>
      <c r="I235" s="25"/>
      <c r="J235" s="25"/>
      <c r="K235" s="25"/>
      <c r="L235" s="25"/>
      <c r="M235" s="25"/>
      <c r="N235" s="25"/>
      <c r="O235" s="25"/>
    </row>
    <row r="236" spans="2:15" x14ac:dyDescent="0.3">
      <c r="B236" s="25"/>
      <c r="C236" s="25"/>
      <c r="D236" s="25"/>
      <c r="E236" s="25"/>
      <c r="F236" s="25"/>
      <c r="G236" s="25"/>
      <c r="H236" s="25"/>
      <c r="I236" s="25"/>
      <c r="J236" s="25"/>
      <c r="K236" s="25"/>
      <c r="L236" s="25"/>
      <c r="M236" s="25"/>
      <c r="N236" s="25"/>
      <c r="O236" s="25"/>
    </row>
    <row r="237" spans="2:15" x14ac:dyDescent="0.3">
      <c r="B237" s="25"/>
      <c r="C237" s="25"/>
      <c r="D237" s="25"/>
      <c r="E237" s="25"/>
      <c r="F237" s="25"/>
      <c r="G237" s="25"/>
      <c r="H237" s="25"/>
      <c r="I237" s="25"/>
      <c r="J237" s="25"/>
      <c r="K237" s="25"/>
      <c r="L237" s="25"/>
      <c r="M237" s="25"/>
      <c r="N237" s="25"/>
      <c r="O237" s="25"/>
    </row>
    <row r="238" spans="2:15" x14ac:dyDescent="0.3">
      <c r="B238" s="25"/>
      <c r="C238" s="25"/>
      <c r="D238" s="25"/>
      <c r="E238" s="25"/>
      <c r="F238" s="25"/>
      <c r="G238" s="25"/>
      <c r="H238" s="25"/>
      <c r="I238" s="25"/>
      <c r="J238" s="25"/>
      <c r="K238" s="25"/>
      <c r="L238" s="25"/>
      <c r="M238" s="25"/>
      <c r="N238" s="25"/>
      <c r="O238" s="25"/>
    </row>
    <row r="239" spans="2:15" x14ac:dyDescent="0.3">
      <c r="B239" s="25"/>
      <c r="C239" s="25"/>
      <c r="D239" s="25"/>
      <c r="E239" s="25"/>
      <c r="F239" s="25"/>
      <c r="G239" s="25"/>
      <c r="H239" s="25"/>
      <c r="I239" s="25"/>
      <c r="J239" s="25"/>
      <c r="K239" s="25"/>
      <c r="L239" s="25"/>
      <c r="M239" s="25"/>
      <c r="N239" s="25"/>
      <c r="O239" s="25"/>
    </row>
    <row r="240" spans="2:15" x14ac:dyDescent="0.3">
      <c r="B240" s="25"/>
      <c r="C240" s="25"/>
      <c r="D240" s="25"/>
      <c r="E240" s="25"/>
      <c r="F240" s="25"/>
      <c r="G240" s="25"/>
      <c r="H240" s="25"/>
      <c r="I240" s="25"/>
      <c r="J240" s="25"/>
      <c r="K240" s="25"/>
      <c r="L240" s="25"/>
      <c r="M240" s="25"/>
      <c r="N240" s="25"/>
      <c r="O240" s="25"/>
    </row>
    <row r="241" spans="2:15" x14ac:dyDescent="0.3">
      <c r="B241" s="25"/>
      <c r="C241" s="25"/>
      <c r="D241" s="25"/>
      <c r="E241" s="25"/>
      <c r="F241" s="25"/>
      <c r="G241" s="25"/>
      <c r="H241" s="25"/>
      <c r="I241" s="25"/>
      <c r="J241" s="25"/>
      <c r="K241" s="25"/>
      <c r="L241" s="25"/>
      <c r="M241" s="25"/>
      <c r="N241" s="25"/>
      <c r="O241" s="25"/>
    </row>
    <row r="242" spans="2:15" x14ac:dyDescent="0.3">
      <c r="B242" s="25"/>
      <c r="C242" s="25"/>
      <c r="D242" s="25"/>
      <c r="E242" s="25"/>
      <c r="F242" s="25"/>
      <c r="G242" s="25"/>
      <c r="H242" s="25"/>
      <c r="I242" s="25"/>
      <c r="J242" s="25"/>
      <c r="K242" s="25"/>
      <c r="L242" s="25"/>
      <c r="M242" s="25"/>
      <c r="N242" s="25"/>
      <c r="O242" s="25"/>
    </row>
    <row r="243" spans="2:15" x14ac:dyDescent="0.3">
      <c r="B243" s="25"/>
      <c r="C243" s="25"/>
      <c r="D243" s="25"/>
      <c r="E243" s="25"/>
      <c r="F243" s="25"/>
      <c r="G243" s="25"/>
      <c r="H243" s="25"/>
      <c r="I243" s="25"/>
      <c r="J243" s="25"/>
      <c r="K243" s="25"/>
      <c r="L243" s="25"/>
      <c r="M243" s="25"/>
      <c r="N243" s="25"/>
      <c r="O243" s="25"/>
    </row>
    <row r="244" spans="2:15" x14ac:dyDescent="0.3">
      <c r="B244" s="25"/>
      <c r="C244" s="25"/>
      <c r="D244" s="25"/>
      <c r="E244" s="25"/>
      <c r="F244" s="25"/>
      <c r="G244" s="25"/>
      <c r="H244" s="25"/>
      <c r="I244" s="25"/>
      <c r="J244" s="25"/>
      <c r="K244" s="25"/>
      <c r="L244" s="25"/>
      <c r="M244" s="25"/>
      <c r="N244" s="25"/>
      <c r="O244" s="25"/>
    </row>
    <row r="245" spans="2:15" x14ac:dyDescent="0.3">
      <c r="B245" s="25"/>
      <c r="C245" s="25"/>
      <c r="D245" s="25"/>
      <c r="E245" s="25"/>
      <c r="F245" s="25"/>
      <c r="G245" s="25"/>
      <c r="H245" s="25"/>
      <c r="I245" s="25"/>
      <c r="J245" s="25"/>
      <c r="K245" s="25"/>
      <c r="L245" s="25"/>
      <c r="M245" s="25"/>
      <c r="N245" s="25"/>
      <c r="O245" s="25"/>
    </row>
    <row r="246" spans="2:15" x14ac:dyDescent="0.3">
      <c r="B246" s="25"/>
      <c r="C246" s="25"/>
      <c r="D246" s="25"/>
      <c r="E246" s="25"/>
      <c r="F246" s="25"/>
      <c r="G246" s="25"/>
      <c r="H246" s="25"/>
      <c r="I246" s="25"/>
      <c r="J246" s="25"/>
      <c r="K246" s="25"/>
      <c r="L246" s="25"/>
      <c r="M246" s="25"/>
      <c r="N246" s="25"/>
      <c r="O246" s="25"/>
    </row>
    <row r="247" spans="2:15" x14ac:dyDescent="0.3">
      <c r="B247" s="25"/>
      <c r="C247" s="25"/>
      <c r="D247" s="25"/>
      <c r="E247" s="25"/>
      <c r="F247" s="25"/>
      <c r="G247" s="25"/>
      <c r="H247" s="25"/>
      <c r="I247" s="25"/>
      <c r="J247" s="25"/>
      <c r="K247" s="25"/>
      <c r="L247" s="25"/>
      <c r="M247" s="25"/>
      <c r="N247" s="25"/>
      <c r="O247" s="25"/>
    </row>
  </sheetData>
  <mergeCells count="1">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indexed="57"/>
  </sheetPr>
  <dimension ref="A2:O20"/>
  <sheetViews>
    <sheetView workbookViewId="0">
      <selection activeCell="A18" sqref="A18"/>
    </sheetView>
  </sheetViews>
  <sheetFormatPr defaultColWidth="9.1796875" defaultRowHeight="13" x14ac:dyDescent="0.3"/>
  <cols>
    <col min="1" max="1" width="52.7265625" style="21" bestFit="1" customWidth="1"/>
    <col min="2" max="14" width="10.1796875" style="21" bestFit="1" customWidth="1"/>
    <col min="15" max="15" width="9.1796875" style="21" customWidth="1"/>
    <col min="16" max="16384" width="9.1796875" style="21"/>
  </cols>
  <sheetData>
    <row r="2" spans="1:15" ht="18.5" x14ac:dyDescent="0.3">
      <c r="A2" s="278" t="str">
        <f>DEBT_AS_OF_CURR_YEAR</f>
        <v>Державний та гарантований державою борг України за поточний рік</v>
      </c>
      <c r="B2" s="278"/>
      <c r="C2" s="278"/>
      <c r="D2" s="278"/>
      <c r="E2" s="278"/>
      <c r="F2" s="278"/>
      <c r="G2" s="278"/>
      <c r="H2" s="278"/>
      <c r="I2" s="278"/>
      <c r="J2" s="278"/>
      <c r="K2" s="278"/>
      <c r="L2" s="278"/>
      <c r="M2" s="278"/>
      <c r="N2" s="278"/>
    </row>
    <row r="4" spans="1:15" x14ac:dyDescent="0.3">
      <c r="N4" s="147" t="str">
        <f>VALUAH</f>
        <v>млрд. грн</v>
      </c>
    </row>
    <row r="5" spans="1:15" x14ac:dyDescent="0.3">
      <c r="A5" s="44"/>
      <c r="B5" s="45">
        <f>MT_ALL!B5</f>
        <v>45291</v>
      </c>
      <c r="C5" s="45">
        <f>MT_ALL!C5</f>
        <v>45322</v>
      </c>
      <c r="D5" s="45">
        <f>MT_ALL!D5</f>
        <v>45351</v>
      </c>
      <c r="E5" s="45">
        <f>MT_ALL!E5</f>
        <v>45382</v>
      </c>
      <c r="F5" s="45">
        <f>MT_ALL!F5</f>
        <v>45412</v>
      </c>
      <c r="G5" s="45">
        <f>MT_ALL!G5</f>
        <v>45443</v>
      </c>
      <c r="H5" s="45">
        <f>MT_ALL!H5</f>
        <v>45473</v>
      </c>
      <c r="I5" s="45">
        <f>MT_ALL!I5</f>
        <v>45504</v>
      </c>
      <c r="J5" s="45">
        <f>MT_ALL!J5</f>
        <v>45535</v>
      </c>
      <c r="K5" s="45">
        <f>MT_ALL!K5</f>
        <v>45565</v>
      </c>
      <c r="L5" s="45">
        <f>MT_ALL!L5</f>
        <v>45596</v>
      </c>
      <c r="M5" s="45">
        <f>MT_ALL!M5</f>
        <v>45626</v>
      </c>
      <c r="N5" s="45">
        <f>MT_ALL!N5</f>
        <v>45657</v>
      </c>
      <c r="O5" s="46"/>
    </row>
    <row r="6" spans="1:15" x14ac:dyDescent="0.3">
      <c r="A6" s="50" t="str">
        <f>MT_ALL!A6</f>
        <v>Загальна сума державного та гарантованого державою боргу</v>
      </c>
      <c r="B6" s="51">
        <f>SUM(B7:B8)</f>
        <v>5519.6354586101497</v>
      </c>
      <c r="C6" s="51">
        <f t="shared" ref="C6:N6" si="0">SUM(C7:C8)</f>
        <v>5488.0437884565199</v>
      </c>
      <c r="D6" s="51">
        <f t="shared" si="0"/>
        <v>5490.0721255074805</v>
      </c>
      <c r="E6" s="51">
        <f t="shared" si="0"/>
        <v>5924.3840320867102</v>
      </c>
      <c r="F6" s="51">
        <f t="shared" si="0"/>
        <v>6010.7158054227693</v>
      </c>
      <c r="G6" s="51">
        <f t="shared" si="0"/>
        <v>6115.3982276941206</v>
      </c>
      <c r="H6" s="51">
        <f t="shared" si="0"/>
        <v>6168.0601610008198</v>
      </c>
      <c r="I6" s="51">
        <f t="shared" si="0"/>
        <v>6373.9845821147801</v>
      </c>
      <c r="J6" s="51">
        <f t="shared" si="0"/>
        <v>6372.7936338663203</v>
      </c>
      <c r="K6" s="51">
        <f t="shared" si="0"/>
        <v>6410.3432121414598</v>
      </c>
      <c r="L6" s="51">
        <f t="shared" si="0"/>
        <v>6414.6548865530995</v>
      </c>
      <c r="M6" s="51">
        <f>SUM(M7:M8)</f>
        <v>6645.7842960634607</v>
      </c>
      <c r="N6" s="51">
        <f t="shared" si="0"/>
        <v>6980.93401478539</v>
      </c>
    </row>
    <row r="7" spans="1:15" x14ac:dyDescent="0.3">
      <c r="A7" s="47" t="str">
        <f>MT_ALL!A7</f>
        <v>Внутрішній борг</v>
      </c>
      <c r="B7" s="48">
        <f>MT_ALL!B7/DMLMLR</f>
        <v>1656.49630379928</v>
      </c>
      <c r="C7" s="48">
        <f>MT_ALL!C7/DMLMLR</f>
        <v>1670.3974646002</v>
      </c>
      <c r="D7" s="48">
        <f>MT_ALL!D7/DMLMLR</f>
        <v>1665.38393269278</v>
      </c>
      <c r="E7" s="48">
        <f>MT_ALL!E7/DMLMLR</f>
        <v>1684.7276228201199</v>
      </c>
      <c r="F7" s="48">
        <f>MT_ALL!F7/DMLMLR</f>
        <v>1711.6649011664399</v>
      </c>
      <c r="G7" s="48">
        <f>MT_ALL!G7/DMLMLR</f>
        <v>1705.1476223949201</v>
      </c>
      <c r="H7" s="48">
        <f>MT_ALL!H7/DMLMLR</f>
        <v>1711.59490621538</v>
      </c>
      <c r="I7" s="48">
        <f>MT_ALL!I7/DMLMLR</f>
        <v>1740.7725892068099</v>
      </c>
      <c r="J7" s="48">
        <f>MT_ALL!J7/DMLMLR</f>
        <v>1750.4719266997499</v>
      </c>
      <c r="K7" s="48">
        <f>MT_ALL!K7/DMLMLR</f>
        <v>1796.2060528819</v>
      </c>
      <c r="L7" s="48">
        <f>MT_ALL!L7/DMLMLR</f>
        <v>1829.0799631345301</v>
      </c>
      <c r="M7" s="48">
        <f>MT_ALL!M7/DMLMLR</f>
        <v>1874.5598052938401</v>
      </c>
      <c r="N7" s="48">
        <f>MT_ALL!N7/DMLMLR</f>
        <v>1932.48958136344</v>
      </c>
    </row>
    <row r="8" spans="1:15" x14ac:dyDescent="0.3">
      <c r="A8" s="47" t="str">
        <f>MT_ALL!A8</f>
        <v>Зовнішній борг</v>
      </c>
      <c r="B8" s="48">
        <f>MT_ALL!B8/DMLMLR</f>
        <v>3863.13915481087</v>
      </c>
      <c r="C8" s="48">
        <f>MT_ALL!C8/DMLMLR</f>
        <v>3817.6463238563201</v>
      </c>
      <c r="D8" s="48">
        <f>MT_ALL!D8/DMLMLR</f>
        <v>3824.6881928147</v>
      </c>
      <c r="E8" s="48">
        <f>MT_ALL!E8/DMLMLR</f>
        <v>4239.6564092665903</v>
      </c>
      <c r="F8" s="48">
        <f>MT_ALL!F8/DMLMLR</f>
        <v>4299.0509042563299</v>
      </c>
      <c r="G8" s="48">
        <f>MT_ALL!G8/DMLMLR</f>
        <v>4410.2506052992003</v>
      </c>
      <c r="H8" s="48">
        <f>MT_ALL!H8/DMLMLR</f>
        <v>4456.4652547854403</v>
      </c>
      <c r="I8" s="48">
        <f>MT_ALL!I8/DMLMLR</f>
        <v>4633.2119929079699</v>
      </c>
      <c r="J8" s="48">
        <f>MT_ALL!J8/DMLMLR</f>
        <v>4622.3217071665704</v>
      </c>
      <c r="K8" s="48">
        <f>MT_ALL!K8/DMLMLR</f>
        <v>4614.1371592595597</v>
      </c>
      <c r="L8" s="48">
        <f>MT_ALL!L8/DMLMLR</f>
        <v>4585.5749234185696</v>
      </c>
      <c r="M8" s="48">
        <f>MT_ALL!M8/DMLMLR</f>
        <v>4771.2244907696204</v>
      </c>
      <c r="N8" s="48">
        <f>MT_ALL!N8/DMLMLR</f>
        <v>5048.4444334219497</v>
      </c>
    </row>
    <row r="10" spans="1:15" x14ac:dyDescent="0.3">
      <c r="N10" s="147" t="str">
        <f>VALUSD</f>
        <v>млрд. дол. США</v>
      </c>
    </row>
    <row r="11" spans="1:15" x14ac:dyDescent="0.3">
      <c r="A11" s="44"/>
      <c r="B11" s="45">
        <f>MT_ALL!B11</f>
        <v>45291</v>
      </c>
      <c r="C11" s="45">
        <f>MT_ALL!C11</f>
        <v>45322</v>
      </c>
      <c r="D11" s="45">
        <f>MT_ALL!D11</f>
        <v>45351</v>
      </c>
      <c r="E11" s="45">
        <f>MT_ALL!E11</f>
        <v>45382</v>
      </c>
      <c r="F11" s="45">
        <f>MT_ALL!F11</f>
        <v>45412</v>
      </c>
      <c r="G11" s="45">
        <f>MT_ALL!G11</f>
        <v>45443</v>
      </c>
      <c r="H11" s="45">
        <f>MT_ALL!H11</f>
        <v>45473</v>
      </c>
      <c r="I11" s="45">
        <f>MT_ALL!I11</f>
        <v>45504</v>
      </c>
      <c r="J11" s="45">
        <f>MT_ALL!J11</f>
        <v>45535</v>
      </c>
      <c r="K11" s="45">
        <f>MT_ALL!K11</f>
        <v>45565</v>
      </c>
      <c r="L11" s="45">
        <f>MT_ALL!L11</f>
        <v>45596</v>
      </c>
      <c r="M11" s="45">
        <f>MT_ALL!M11</f>
        <v>45626</v>
      </c>
      <c r="N11" s="45">
        <f>MT_ALL!N11</f>
        <v>45657</v>
      </c>
    </row>
    <row r="12" spans="1:15" x14ac:dyDescent="0.3">
      <c r="A12" s="50" t="str">
        <f>MT_ALL!A12</f>
        <v>Загальна сума державного та гарантованого державою боргу</v>
      </c>
      <c r="B12" s="51">
        <f t="shared" ref="B12:N12" si="1">SUM(B13:B14)</f>
        <v>145.32087120896</v>
      </c>
      <c r="C12" s="51">
        <f t="shared" si="1"/>
        <v>144.90037620069</v>
      </c>
      <c r="D12" s="51">
        <f t="shared" si="1"/>
        <v>143.69020185762</v>
      </c>
      <c r="E12" s="51">
        <f t="shared" si="1"/>
        <v>151.04978486445</v>
      </c>
      <c r="F12" s="51">
        <f t="shared" si="1"/>
        <v>151.52250144753</v>
      </c>
      <c r="G12" s="51">
        <f t="shared" si="1"/>
        <v>150.99711427117001</v>
      </c>
      <c r="H12" s="51">
        <f t="shared" si="1"/>
        <v>152.15727108812001</v>
      </c>
      <c r="I12" s="51">
        <f t="shared" si="1"/>
        <v>155.35277600814999</v>
      </c>
      <c r="J12" s="51">
        <f t="shared" si="1"/>
        <v>154.71663418818</v>
      </c>
      <c r="K12" s="51">
        <f t="shared" si="1"/>
        <v>155.71784785977002</v>
      </c>
      <c r="L12" s="51">
        <f t="shared" si="1"/>
        <v>155.39753595201</v>
      </c>
      <c r="M12" s="51">
        <f>SUM(M13:M14)</f>
        <v>159.77132908442999</v>
      </c>
      <c r="N12" s="51">
        <f t="shared" si="1"/>
        <v>166.05851744312</v>
      </c>
    </row>
    <row r="13" spans="1:15" x14ac:dyDescent="0.3">
      <c r="A13" s="47" t="str">
        <f>MT_ALL!A13</f>
        <v>Внутрішній борг</v>
      </c>
      <c r="B13" s="48">
        <f>MT_ALL!B13/DMLMLR</f>
        <v>43.612207332799997</v>
      </c>
      <c r="C13" s="48">
        <f>MT_ALL!C13/DMLMLR</f>
        <v>44.103369133839998</v>
      </c>
      <c r="D13" s="48">
        <f>MT_ALL!D13/DMLMLR</f>
        <v>43.58765203606</v>
      </c>
      <c r="E13" s="48">
        <f>MT_ALL!E13/DMLMLR</f>
        <v>42.954295940889999</v>
      </c>
      <c r="F13" s="48">
        <f>MT_ALL!F13/DMLMLR</f>
        <v>43.148895382909998</v>
      </c>
      <c r="G13" s="48">
        <f>MT_ALL!G13/DMLMLR</f>
        <v>42.10230647321</v>
      </c>
      <c r="H13" s="48">
        <f>MT_ALL!H13/DMLMLR</f>
        <v>42.222611865109997</v>
      </c>
      <c r="I13" s="48">
        <f>MT_ALL!I13/DMLMLR</f>
        <v>42.427754671830002</v>
      </c>
      <c r="J13" s="48">
        <f>MT_ALL!J13/DMLMLR</f>
        <v>42.497394439499999</v>
      </c>
      <c r="K13" s="48">
        <f>MT_ALL!K13/DMLMLR</f>
        <v>43.632818339099998</v>
      </c>
      <c r="L13" s="48">
        <f>MT_ALL!L13/DMLMLR</f>
        <v>44.310181039870002</v>
      </c>
      <c r="M13" s="48">
        <f>MT_ALL!M13/DMLMLR</f>
        <v>45.066300409039997</v>
      </c>
      <c r="N13" s="48">
        <f>MT_ALL!N13/DMLMLR</f>
        <v>45.968971226080001</v>
      </c>
    </row>
    <row r="14" spans="1:15" x14ac:dyDescent="0.3">
      <c r="A14" s="47" t="str">
        <f>MT_ALL!A14</f>
        <v>Зовнішній борг</v>
      </c>
      <c r="B14" s="48">
        <f>MT_ALL!B14/DMLMLR</f>
        <v>101.70866387616</v>
      </c>
      <c r="C14" s="48">
        <f>MT_ALL!C14/DMLMLR</f>
        <v>100.79700706685</v>
      </c>
      <c r="D14" s="48">
        <f>MT_ALL!D14/DMLMLR</f>
        <v>100.10254982156</v>
      </c>
      <c r="E14" s="48">
        <f>MT_ALL!E14/DMLMLR</f>
        <v>108.09548892356</v>
      </c>
      <c r="F14" s="48">
        <f>MT_ALL!F14/DMLMLR</f>
        <v>108.37360606462001</v>
      </c>
      <c r="G14" s="48">
        <f>MT_ALL!G14/DMLMLR</f>
        <v>108.89480779796</v>
      </c>
      <c r="H14" s="48">
        <f>MT_ALL!H14/DMLMLR</f>
        <v>109.93465922301</v>
      </c>
      <c r="I14" s="48">
        <f>MT_ALL!I14/DMLMLR</f>
        <v>112.92502133632</v>
      </c>
      <c r="J14" s="48">
        <f>MT_ALL!J14/DMLMLR</f>
        <v>112.21923974868</v>
      </c>
      <c r="K14" s="48">
        <f>MT_ALL!K14/DMLMLR</f>
        <v>112.08502952067001</v>
      </c>
      <c r="L14" s="48">
        <f>MT_ALL!L14/DMLMLR</f>
        <v>111.08735491214</v>
      </c>
      <c r="M14" s="48">
        <f>MT_ALL!M14/DMLMLR</f>
        <v>114.70502867539</v>
      </c>
      <c r="N14" s="48">
        <f>MT_ALL!N14/DMLMLR</f>
        <v>120.08954621704</v>
      </c>
    </row>
    <row r="16" spans="1:15" x14ac:dyDescent="0.3">
      <c r="N16" s="36" t="s">
        <v>178</v>
      </c>
    </row>
    <row r="17" spans="1:14" x14ac:dyDescent="0.3">
      <c r="A17" s="44"/>
      <c r="B17" s="45">
        <f>MT_ALL!B17</f>
        <v>45291</v>
      </c>
      <c r="C17" s="45">
        <f>MT_ALL!C17</f>
        <v>45322</v>
      </c>
      <c r="D17" s="45">
        <f>MT_ALL!D17</f>
        <v>45351</v>
      </c>
      <c r="E17" s="45">
        <f>MT_ALL!E17</f>
        <v>45382</v>
      </c>
      <c r="F17" s="45">
        <f>MT_ALL!F17</f>
        <v>45412</v>
      </c>
      <c r="G17" s="45">
        <f>MT_ALL!G17</f>
        <v>45443</v>
      </c>
      <c r="H17" s="45">
        <f>MT_ALL!H17</f>
        <v>45473</v>
      </c>
      <c r="I17" s="45">
        <f>MT_ALL!I17</f>
        <v>45504</v>
      </c>
      <c r="J17" s="45">
        <f>MT_ALL!J17</f>
        <v>45535</v>
      </c>
      <c r="K17" s="45">
        <f>MT_ALL!K17</f>
        <v>45565</v>
      </c>
      <c r="L17" s="45">
        <f>MT_ALL!L17</f>
        <v>45596</v>
      </c>
      <c r="M17" s="45">
        <f>MT_ALL!M17</f>
        <v>45626</v>
      </c>
      <c r="N17" s="45">
        <f>MT_ALL!N17</f>
        <v>45657</v>
      </c>
    </row>
    <row r="18" spans="1:14" x14ac:dyDescent="0.3">
      <c r="A18" s="50" t="str">
        <f>MT_ALL!A18</f>
        <v>Загальна сума державного та гарантованого державою боргу</v>
      </c>
      <c r="B18" s="51">
        <f t="shared" ref="B18:N18" si="2">SUM(B19:B20)</f>
        <v>1</v>
      </c>
      <c r="C18" s="51">
        <f t="shared" si="2"/>
        <v>1</v>
      </c>
      <c r="D18" s="51">
        <f t="shared" si="2"/>
        <v>1</v>
      </c>
      <c r="E18" s="51">
        <f t="shared" si="2"/>
        <v>1</v>
      </c>
      <c r="F18" s="51">
        <f t="shared" si="2"/>
        <v>1</v>
      </c>
      <c r="G18" s="51">
        <f t="shared" si="2"/>
        <v>1</v>
      </c>
      <c r="H18" s="51">
        <f t="shared" si="2"/>
        <v>1</v>
      </c>
      <c r="I18" s="51">
        <f t="shared" si="2"/>
        <v>1</v>
      </c>
      <c r="J18" s="51">
        <f t="shared" si="2"/>
        <v>1</v>
      </c>
      <c r="K18" s="51">
        <f t="shared" si="2"/>
        <v>1</v>
      </c>
      <c r="L18" s="51">
        <f t="shared" si="2"/>
        <v>1</v>
      </c>
      <c r="M18" s="51">
        <f>SUM(M19:M20)</f>
        <v>0.90692399999999995</v>
      </c>
      <c r="N18" s="51">
        <f t="shared" si="2"/>
        <v>1</v>
      </c>
    </row>
    <row r="19" spans="1:14" x14ac:dyDescent="0.3">
      <c r="A19" s="47" t="str">
        <f>MT_ALL!A19</f>
        <v>Внутрішній борг</v>
      </c>
      <c r="B19" s="49">
        <f>MT_ALL!B19</f>
        <v>0.30010999999999999</v>
      </c>
      <c r="C19" s="49">
        <f>MT_ALL!C19</f>
        <v>0.30436999999999997</v>
      </c>
      <c r="D19" s="49">
        <f>MT_ALL!D19</f>
        <v>0.30334499999999998</v>
      </c>
      <c r="E19" s="49">
        <f>MT_ALL!E19</f>
        <v>0.28437200000000001</v>
      </c>
      <c r="F19" s="49">
        <f>MT_ALL!F19</f>
        <v>0.28476899999999999</v>
      </c>
      <c r="G19" s="49">
        <f>MT_ALL!G19</f>
        <v>0.27882899999999999</v>
      </c>
      <c r="H19" s="49">
        <f>MT_ALL!H19</f>
        <v>0.27749299999999999</v>
      </c>
      <c r="I19" s="49">
        <f>MT_ALL!I19</f>
        <v>0.27310600000000002</v>
      </c>
      <c r="J19" s="49">
        <f>MT_ALL!J19</f>
        <v>0.27467900000000001</v>
      </c>
      <c r="K19" s="49">
        <f>MT_ALL!K19</f>
        <v>0.28020400000000001</v>
      </c>
      <c r="L19" s="49">
        <f>MT_ALL!L19</f>
        <v>0.28514099999999998</v>
      </c>
      <c r="M19" s="49">
        <f>MT_ALL!M19</f>
        <v>0.27604099999999998</v>
      </c>
      <c r="N19" s="49">
        <f>MT_ALL!N19</f>
        <v>0.27682400000000001</v>
      </c>
    </row>
    <row r="20" spans="1:14" x14ac:dyDescent="0.3">
      <c r="A20" s="47" t="str">
        <f>MT_ALL!A20</f>
        <v>Зовнішній борг</v>
      </c>
      <c r="B20" s="49">
        <f>MT_ALL!B20</f>
        <v>0.69989000000000001</v>
      </c>
      <c r="C20" s="49">
        <f>MT_ALL!C20</f>
        <v>0.69562999999999997</v>
      </c>
      <c r="D20" s="49">
        <f>MT_ALL!D20</f>
        <v>0.69665500000000002</v>
      </c>
      <c r="E20" s="49">
        <f>MT_ALL!E20</f>
        <v>0.71562800000000004</v>
      </c>
      <c r="F20" s="49">
        <f>MT_ALL!F20</f>
        <v>0.71523099999999995</v>
      </c>
      <c r="G20" s="49">
        <f>MT_ALL!G20</f>
        <v>0.72117100000000001</v>
      </c>
      <c r="H20" s="49">
        <f>MT_ALL!H20</f>
        <v>0.72250700000000001</v>
      </c>
      <c r="I20" s="49">
        <f>MT_ALL!I20</f>
        <v>0.72689400000000004</v>
      </c>
      <c r="J20" s="49">
        <f>MT_ALL!J20</f>
        <v>0.72532099999999999</v>
      </c>
      <c r="K20" s="49">
        <f>MT_ALL!K20</f>
        <v>0.71979599999999999</v>
      </c>
      <c r="L20" s="49">
        <f>MT_ALL!L20</f>
        <v>0.71485900000000002</v>
      </c>
      <c r="M20" s="49">
        <f>MT_ALL!M20</f>
        <v>0.63088299999999997</v>
      </c>
      <c r="N20" s="49">
        <f>MT_ALL!N20</f>
        <v>0.72317600000000004</v>
      </c>
    </row>
  </sheetData>
  <mergeCells count="1">
    <mergeCell ref="A2:N2"/>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indexed="57"/>
    <outlinePr applyStyles="1" summaryBelow="0"/>
    <pageSetUpPr fitToPage="1"/>
  </sheetPr>
  <dimension ref="A2:U247"/>
  <sheetViews>
    <sheetView workbookViewId="0">
      <selection activeCell="A13" sqref="A13"/>
    </sheetView>
  </sheetViews>
  <sheetFormatPr defaultColWidth="9.1796875" defaultRowHeight="13" outlineLevelRow="1" x14ac:dyDescent="0.3"/>
  <cols>
    <col min="1" max="1" width="63.26953125" style="21" bestFit="1" customWidth="1"/>
    <col min="2" max="2" width="14.7265625" style="21" customWidth="1"/>
    <col min="3" max="10" width="14.453125" style="21" bestFit="1" customWidth="1"/>
    <col min="11" max="11" width="13" style="21" customWidth="1"/>
    <col min="12" max="13" width="11.26953125" style="21" customWidth="1"/>
    <col min="14" max="14" width="13" style="21" customWidth="1"/>
    <col min="15" max="15" width="9.1796875" style="21" customWidth="1"/>
    <col min="16" max="16384" width="9.1796875" style="21"/>
  </cols>
  <sheetData>
    <row r="2" spans="1:21" ht="18.5" x14ac:dyDescent="0.3">
      <c r="A2" s="278" t="str">
        <f>DEBT_AS_OF_CURR_YEAR</f>
        <v>Державний та гарантований державою борг України за поточний рік</v>
      </c>
      <c r="B2" s="278"/>
      <c r="C2" s="278"/>
      <c r="D2" s="278"/>
      <c r="E2" s="278"/>
      <c r="F2" s="278"/>
      <c r="G2" s="278"/>
      <c r="H2" s="278"/>
      <c r="I2" s="278"/>
      <c r="J2" s="278"/>
      <c r="K2" s="278"/>
      <c r="L2" s="278"/>
      <c r="M2" s="278"/>
      <c r="N2" s="278"/>
      <c r="O2" s="25"/>
      <c r="P2" s="25"/>
      <c r="Q2" s="25"/>
      <c r="R2" s="25"/>
      <c r="S2" s="25"/>
      <c r="T2" s="25"/>
      <c r="U2" s="25"/>
    </row>
    <row r="3" spans="1:21" x14ac:dyDescent="0.3">
      <c r="A3" s="23"/>
    </row>
    <row r="4" spans="1:21" s="26" customFormat="1" x14ac:dyDescent="0.3">
      <c r="A4" s="139" t="str">
        <f>$A$2 &amp; " (" &amp;N4 &amp; ")"</f>
        <v>Державний та гарантований державою борг України за поточний рік (млрд. грн)</v>
      </c>
      <c r="N4" s="26" t="str">
        <f>VALUAH</f>
        <v>млрд. грн</v>
      </c>
    </row>
    <row r="5" spans="1:21" s="13" customFormat="1" x14ac:dyDescent="0.3">
      <c r="A5" s="53"/>
      <c r="B5" s="12">
        <v>45291</v>
      </c>
      <c r="C5" s="12">
        <v>45322</v>
      </c>
      <c r="D5" s="12">
        <v>45351</v>
      </c>
      <c r="E5" s="12">
        <v>45382</v>
      </c>
      <c r="F5" s="12">
        <v>45412</v>
      </c>
      <c r="G5" s="12">
        <v>45443</v>
      </c>
      <c r="H5" s="12">
        <v>45473</v>
      </c>
      <c r="I5" s="12">
        <v>45504</v>
      </c>
      <c r="J5" s="12">
        <v>45535</v>
      </c>
      <c r="K5" s="12">
        <v>45565</v>
      </c>
      <c r="L5" s="12">
        <v>45596</v>
      </c>
      <c r="M5" s="12">
        <v>45626</v>
      </c>
      <c r="N5" s="32">
        <v>45657</v>
      </c>
    </row>
    <row r="6" spans="1:21" s="14" customFormat="1" x14ac:dyDescent="0.25">
      <c r="A6" s="149" t="str">
        <f>DEBT_TOTAL</f>
        <v>Загальна сума державного та гарантованого державою боргу</v>
      </c>
      <c r="B6" s="43">
        <f>SUM(B7:B8)</f>
        <v>5519.6354586101497</v>
      </c>
      <c r="C6" s="43">
        <f t="shared" ref="C6:N6" si="0">SUM(C7:C8)</f>
        <v>5488.0437884565199</v>
      </c>
      <c r="D6" s="43">
        <f t="shared" si="0"/>
        <v>5490.0721255074795</v>
      </c>
      <c r="E6" s="43">
        <f t="shared" si="0"/>
        <v>5924.3840320867102</v>
      </c>
      <c r="F6" s="43">
        <f t="shared" si="0"/>
        <v>6010.7158054227702</v>
      </c>
      <c r="G6" s="43">
        <f t="shared" si="0"/>
        <v>6115.3982276941197</v>
      </c>
      <c r="H6" s="43">
        <f t="shared" si="0"/>
        <v>6168.0601610008198</v>
      </c>
      <c r="I6" s="43">
        <f t="shared" si="0"/>
        <v>6373.9845821147801</v>
      </c>
      <c r="J6" s="43">
        <f t="shared" si="0"/>
        <v>6372.7936338663194</v>
      </c>
      <c r="K6" s="43">
        <f t="shared" si="0"/>
        <v>6410.3432121414598</v>
      </c>
      <c r="L6" s="43">
        <f t="shared" si="0"/>
        <v>6414.6548865530995</v>
      </c>
      <c r="M6" s="43">
        <f>SUM(M7:M8)</f>
        <v>6645.7842960634598</v>
      </c>
      <c r="N6" s="43">
        <f t="shared" si="0"/>
        <v>6980.93401478539</v>
      </c>
    </row>
    <row r="7" spans="1:21" s="37" customFormat="1" outlineLevel="1" x14ac:dyDescent="0.25">
      <c r="A7" s="159" t="s">
        <v>1</v>
      </c>
      <c r="B7" s="165">
        <v>5188.0907415274296</v>
      </c>
      <c r="C7" s="165">
        <v>5154.3421032807601</v>
      </c>
      <c r="D7" s="165">
        <v>5167.2531379974098</v>
      </c>
      <c r="E7" s="165">
        <v>5612.5548101356399</v>
      </c>
      <c r="F7" s="165">
        <v>5699.54362534547</v>
      </c>
      <c r="G7" s="165">
        <v>5797.7632925308599</v>
      </c>
      <c r="H7" s="165">
        <v>5850.1502919194199</v>
      </c>
      <c r="I7" s="165">
        <v>6050.05947242816</v>
      </c>
      <c r="J7" s="165">
        <v>6079.8349600437896</v>
      </c>
      <c r="K7" s="165">
        <v>6123.2216710161301</v>
      </c>
      <c r="L7" s="165">
        <v>6135.5241460141197</v>
      </c>
      <c r="M7" s="165">
        <v>6366.4363020214996</v>
      </c>
      <c r="N7" s="166">
        <v>6692.4229054677799</v>
      </c>
    </row>
    <row r="8" spans="1:21" s="37" customFormat="1" outlineLevel="1" x14ac:dyDescent="0.25">
      <c r="A8" s="159" t="s">
        <v>2</v>
      </c>
      <c r="B8" s="165">
        <v>331.54471708272001</v>
      </c>
      <c r="C8" s="165">
        <v>333.70168517576002</v>
      </c>
      <c r="D8" s="165">
        <v>322.81898751006997</v>
      </c>
      <c r="E8" s="165">
        <v>311.82922195107</v>
      </c>
      <c r="F8" s="165">
        <v>311.17218007730003</v>
      </c>
      <c r="G8" s="165">
        <v>317.63493516326002</v>
      </c>
      <c r="H8" s="165">
        <v>317.90986908140002</v>
      </c>
      <c r="I8" s="165">
        <v>323.92510968661998</v>
      </c>
      <c r="J8" s="165">
        <v>292.95867382252999</v>
      </c>
      <c r="K8" s="165">
        <v>287.12154112533</v>
      </c>
      <c r="L8" s="165">
        <v>279.13074053897998</v>
      </c>
      <c r="M8" s="165">
        <v>279.34799404196002</v>
      </c>
      <c r="N8" s="166">
        <v>288.51110931761002</v>
      </c>
    </row>
    <row r="9" spans="1:21" x14ac:dyDescent="0.3">
      <c r="B9" s="25"/>
      <c r="C9" s="25"/>
      <c r="D9" s="25"/>
      <c r="E9" s="25"/>
      <c r="F9" s="25"/>
      <c r="G9" s="25"/>
      <c r="H9" s="25"/>
      <c r="I9" s="25"/>
      <c r="J9" s="25"/>
      <c r="K9" s="25"/>
      <c r="L9" s="25"/>
      <c r="M9" s="25"/>
      <c r="N9" s="25"/>
      <c r="O9" s="25"/>
      <c r="P9" s="25"/>
      <c r="Q9" s="25"/>
      <c r="R9" s="25"/>
      <c r="S9" s="25"/>
    </row>
    <row r="10" spans="1:21" x14ac:dyDescent="0.3">
      <c r="A10" s="139" t="str">
        <f>$A$2 &amp; " (" &amp;N10 &amp; ")"</f>
        <v>Державний та гарантований державою борг України за поточний рік (млрд. дол. США)</v>
      </c>
      <c r="B10" s="25"/>
      <c r="C10" s="25"/>
      <c r="D10" s="25"/>
      <c r="E10" s="25"/>
      <c r="F10" s="25"/>
      <c r="G10" s="25"/>
      <c r="H10" s="25"/>
      <c r="I10" s="25"/>
      <c r="J10" s="25"/>
      <c r="K10" s="36"/>
      <c r="L10" s="25"/>
      <c r="M10" s="25"/>
      <c r="N10" s="26" t="str">
        <f>VALUSD</f>
        <v>млрд. дол. США</v>
      </c>
      <c r="O10" s="25"/>
      <c r="P10" s="25"/>
      <c r="Q10" s="25"/>
      <c r="R10" s="25"/>
      <c r="S10" s="25"/>
    </row>
    <row r="11" spans="1:21" s="33" customFormat="1" x14ac:dyDescent="0.3">
      <c r="A11" s="54"/>
      <c r="B11" s="12">
        <v>45291</v>
      </c>
      <c r="C11" s="12">
        <v>45322</v>
      </c>
      <c r="D11" s="12">
        <v>45351</v>
      </c>
      <c r="E11" s="12">
        <v>45382</v>
      </c>
      <c r="F11" s="12">
        <v>45412</v>
      </c>
      <c r="G11" s="12">
        <v>45443</v>
      </c>
      <c r="H11" s="12">
        <v>45473</v>
      </c>
      <c r="I11" s="12">
        <v>45504</v>
      </c>
      <c r="J11" s="12">
        <v>45535</v>
      </c>
      <c r="K11" s="12">
        <v>45565</v>
      </c>
      <c r="L11" s="12">
        <v>45596</v>
      </c>
      <c r="M11" s="12">
        <v>45626</v>
      </c>
      <c r="N11" s="32">
        <v>45657</v>
      </c>
      <c r="O11" s="13"/>
      <c r="P11" s="13"/>
      <c r="Q11" s="13"/>
      <c r="R11" s="13"/>
      <c r="S11" s="13"/>
      <c r="T11" s="13"/>
      <c r="U11" s="13"/>
    </row>
    <row r="12" spans="1:21" s="35" customFormat="1" x14ac:dyDescent="0.3">
      <c r="A12" s="149" t="str">
        <f>DEBT_TOTAL</f>
        <v>Загальна сума державного та гарантованого державою боргу</v>
      </c>
      <c r="B12" s="43">
        <f>SUM(B13:B14)</f>
        <v>145.32087120896</v>
      </c>
      <c r="C12" s="43">
        <f>SUM(C13:C14)</f>
        <v>144.90037620068998</v>
      </c>
      <c r="D12" s="43">
        <f>SUM(D13:D14)</f>
        <v>143.69020185762</v>
      </c>
      <c r="E12" s="43">
        <f t="shared" ref="E12:N12" si="1">SUM(E13:E14)</f>
        <v>151.04978486444998</v>
      </c>
      <c r="F12" s="43">
        <f t="shared" si="1"/>
        <v>151.52250144753</v>
      </c>
      <c r="G12" s="43">
        <f t="shared" si="1"/>
        <v>150.99711427117001</v>
      </c>
      <c r="H12" s="43">
        <f t="shared" si="1"/>
        <v>152.15727108812001</v>
      </c>
      <c r="I12" s="43">
        <f t="shared" si="1"/>
        <v>155.35277600815002</v>
      </c>
      <c r="J12" s="43">
        <f t="shared" si="1"/>
        <v>154.71663418818</v>
      </c>
      <c r="K12" s="43">
        <f t="shared" si="1"/>
        <v>155.71784785976999</v>
      </c>
      <c r="L12" s="43">
        <f t="shared" si="1"/>
        <v>155.39753595201</v>
      </c>
      <c r="M12" s="43">
        <f>SUM(M13:M14)</f>
        <v>159.77132908443002</v>
      </c>
      <c r="N12" s="43">
        <f t="shared" si="1"/>
        <v>166.05851744312</v>
      </c>
      <c r="O12" s="34"/>
      <c r="P12" s="34"/>
      <c r="Q12" s="34"/>
      <c r="R12" s="34"/>
      <c r="S12" s="34"/>
    </row>
    <row r="13" spans="1:21" s="39" customFormat="1" outlineLevel="1" x14ac:dyDescent="0.3">
      <c r="A13" s="162" t="s">
        <v>1</v>
      </c>
      <c r="B13" s="165">
        <v>136.59196737241001</v>
      </c>
      <c r="C13" s="165">
        <v>136.08967760121999</v>
      </c>
      <c r="D13" s="165">
        <v>135.24114610421</v>
      </c>
      <c r="E13" s="160">
        <v>143.09929809056999</v>
      </c>
      <c r="F13" s="160">
        <v>143.67824651477</v>
      </c>
      <c r="G13" s="160">
        <v>143.15429573087999</v>
      </c>
      <c r="H13" s="160">
        <v>144.31488679412001</v>
      </c>
      <c r="I13" s="160">
        <v>147.45776710742001</v>
      </c>
      <c r="J13" s="160">
        <v>147.60427772817999</v>
      </c>
      <c r="K13" s="160">
        <v>148.74319034476</v>
      </c>
      <c r="L13" s="160">
        <v>148.63548404817001</v>
      </c>
      <c r="M13" s="160">
        <v>153.05552274812001</v>
      </c>
      <c r="N13" s="161">
        <v>159.19557804599</v>
      </c>
      <c r="O13" s="38"/>
      <c r="P13" s="38"/>
      <c r="Q13" s="38"/>
      <c r="R13" s="38"/>
      <c r="S13" s="38"/>
    </row>
    <row r="14" spans="1:21" s="39" customFormat="1" outlineLevel="1" x14ac:dyDescent="0.3">
      <c r="A14" s="162" t="s">
        <v>2</v>
      </c>
      <c r="B14" s="165">
        <v>8.7289038365499998</v>
      </c>
      <c r="C14" s="165">
        <v>8.8106985994699993</v>
      </c>
      <c r="D14" s="165">
        <v>8.4490557534100006</v>
      </c>
      <c r="E14" s="160">
        <v>7.9504867738799998</v>
      </c>
      <c r="F14" s="160">
        <v>7.8442549327600002</v>
      </c>
      <c r="G14" s="160">
        <v>7.8428185402899997</v>
      </c>
      <c r="H14" s="160">
        <v>7.8423842940000004</v>
      </c>
      <c r="I14" s="160">
        <v>7.8950089007299997</v>
      </c>
      <c r="J14" s="160">
        <v>7.11235646</v>
      </c>
      <c r="K14" s="160">
        <v>6.9746575150099996</v>
      </c>
      <c r="L14" s="160">
        <v>6.7620519038399998</v>
      </c>
      <c r="M14" s="160">
        <v>6.71580633631</v>
      </c>
      <c r="N14" s="161">
        <v>6.8629393971299999</v>
      </c>
      <c r="O14" s="38"/>
      <c r="P14" s="38"/>
      <c r="Q14" s="38"/>
      <c r="R14" s="38"/>
      <c r="S14" s="38"/>
    </row>
    <row r="15" spans="1:21" x14ac:dyDescent="0.3">
      <c r="B15" s="25"/>
      <c r="C15" s="25"/>
      <c r="D15" s="25"/>
      <c r="E15" s="25"/>
      <c r="F15" s="25"/>
      <c r="G15" s="25"/>
      <c r="H15" s="25"/>
      <c r="I15" s="25"/>
      <c r="J15" s="25"/>
      <c r="K15" s="25"/>
      <c r="L15" s="25"/>
      <c r="M15" s="25"/>
      <c r="N15" s="25"/>
      <c r="O15" s="25"/>
      <c r="P15" s="25"/>
      <c r="Q15" s="25"/>
      <c r="R15" s="25"/>
      <c r="S15" s="25"/>
    </row>
    <row r="16" spans="1:21" s="26" customFormat="1" x14ac:dyDescent="0.3">
      <c r="A16" s="40"/>
      <c r="B16" s="41"/>
      <c r="C16" s="41"/>
      <c r="D16" s="41"/>
      <c r="E16" s="41"/>
      <c r="F16" s="41"/>
      <c r="G16" s="41"/>
      <c r="H16" s="41"/>
      <c r="I16" s="41"/>
      <c r="J16" s="41"/>
      <c r="K16" s="36"/>
      <c r="L16" s="41"/>
      <c r="M16" s="41"/>
      <c r="N16" s="36" t="s">
        <v>178</v>
      </c>
    </row>
    <row r="17" spans="1:21" s="33" customFormat="1" x14ac:dyDescent="0.3">
      <c r="A17" s="55"/>
      <c r="B17" s="12">
        <v>45291</v>
      </c>
      <c r="C17" s="12">
        <v>45322</v>
      </c>
      <c r="D17" s="12">
        <v>45351</v>
      </c>
      <c r="E17" s="12">
        <v>45382</v>
      </c>
      <c r="F17" s="12">
        <v>45412</v>
      </c>
      <c r="G17" s="12">
        <v>45443</v>
      </c>
      <c r="H17" s="12">
        <v>45473</v>
      </c>
      <c r="I17" s="12">
        <v>45504</v>
      </c>
      <c r="J17" s="12">
        <v>45535</v>
      </c>
      <c r="K17" s="12">
        <v>45565</v>
      </c>
      <c r="L17" s="12">
        <v>45596</v>
      </c>
      <c r="M17" s="12">
        <v>45626</v>
      </c>
      <c r="N17" s="12">
        <v>45657</v>
      </c>
      <c r="O17" s="13"/>
      <c r="P17" s="13"/>
      <c r="Q17" s="13"/>
      <c r="R17" s="13"/>
      <c r="S17" s="13"/>
      <c r="T17" s="13"/>
      <c r="U17" s="13"/>
    </row>
    <row r="18" spans="1:21" s="35" customFormat="1" x14ac:dyDescent="0.3">
      <c r="A18" s="149" t="str">
        <f>DEBT_TOTAL</f>
        <v>Загальна сума державного та гарантованого державою боргу</v>
      </c>
      <c r="B18" s="43">
        <f t="shared" ref="B18:N18" si="2">SUM(B19:B20)</f>
        <v>1</v>
      </c>
      <c r="C18" s="43">
        <f t="shared" si="2"/>
        <v>1</v>
      </c>
      <c r="D18" s="43">
        <f t="shared" si="2"/>
        <v>1</v>
      </c>
      <c r="E18" s="43">
        <f t="shared" si="2"/>
        <v>1</v>
      </c>
      <c r="F18" s="43">
        <f t="shared" si="2"/>
        <v>1</v>
      </c>
      <c r="G18" s="43">
        <f t="shared" si="2"/>
        <v>1</v>
      </c>
      <c r="H18" s="43">
        <f t="shared" si="2"/>
        <v>1</v>
      </c>
      <c r="I18" s="43">
        <f t="shared" si="2"/>
        <v>1</v>
      </c>
      <c r="J18" s="43">
        <f t="shared" si="2"/>
        <v>1</v>
      </c>
      <c r="K18" s="43">
        <f t="shared" si="2"/>
        <v>1</v>
      </c>
      <c r="L18" s="43">
        <f t="shared" si="2"/>
        <v>1</v>
      </c>
      <c r="M18" s="43">
        <f>SUM(M19:M20)</f>
        <v>0.90692400000000006</v>
      </c>
      <c r="N18" s="43">
        <f t="shared" si="2"/>
        <v>1</v>
      </c>
      <c r="O18" s="34"/>
      <c r="P18" s="34"/>
      <c r="Q18" s="34"/>
      <c r="R18" s="34"/>
      <c r="S18" s="34"/>
    </row>
    <row r="19" spans="1:21" s="39" customFormat="1" outlineLevel="1" x14ac:dyDescent="0.3">
      <c r="A19" s="162" t="s">
        <v>1</v>
      </c>
      <c r="B19" s="163">
        <v>0.93993400000000005</v>
      </c>
      <c r="C19" s="163">
        <v>0.939195</v>
      </c>
      <c r="D19" s="163">
        <v>0.94119900000000001</v>
      </c>
      <c r="E19" s="163">
        <v>0.94736500000000001</v>
      </c>
      <c r="F19" s="163">
        <v>0.94823000000000002</v>
      </c>
      <c r="G19" s="163">
        <v>0.94806000000000001</v>
      </c>
      <c r="H19" s="163">
        <v>0.94845900000000005</v>
      </c>
      <c r="I19" s="163">
        <v>0.94918000000000002</v>
      </c>
      <c r="J19" s="163">
        <v>0.95403000000000004</v>
      </c>
      <c r="K19" s="163">
        <v>0.95521</v>
      </c>
      <c r="L19" s="163">
        <v>0.95648500000000003</v>
      </c>
      <c r="M19" s="163">
        <v>0.85177800000000004</v>
      </c>
      <c r="N19" s="164">
        <v>0.95867199999999997</v>
      </c>
      <c r="O19" s="38"/>
      <c r="P19" s="38"/>
      <c r="Q19" s="38"/>
      <c r="R19" s="38"/>
      <c r="S19" s="38"/>
    </row>
    <row r="20" spans="1:21" s="39" customFormat="1" outlineLevel="1" x14ac:dyDescent="0.3">
      <c r="A20" s="162" t="s">
        <v>2</v>
      </c>
      <c r="B20" s="163">
        <v>6.0066000000000001E-2</v>
      </c>
      <c r="C20" s="163">
        <v>6.0804999999999998E-2</v>
      </c>
      <c r="D20" s="163">
        <v>5.8800999999999999E-2</v>
      </c>
      <c r="E20" s="163">
        <v>5.2635000000000001E-2</v>
      </c>
      <c r="F20" s="163">
        <v>5.1769999999999997E-2</v>
      </c>
      <c r="G20" s="163">
        <v>5.194E-2</v>
      </c>
      <c r="H20" s="163">
        <v>5.1540999999999997E-2</v>
      </c>
      <c r="I20" s="163">
        <v>5.0819999999999997E-2</v>
      </c>
      <c r="J20" s="163">
        <v>4.5969999999999997E-2</v>
      </c>
      <c r="K20" s="163">
        <v>4.4790000000000003E-2</v>
      </c>
      <c r="L20" s="163">
        <v>4.3514999999999998E-2</v>
      </c>
      <c r="M20" s="163">
        <v>5.5146000000000001E-2</v>
      </c>
      <c r="N20" s="164">
        <v>4.1327999999999997E-2</v>
      </c>
      <c r="O20" s="38"/>
      <c r="P20" s="38"/>
      <c r="Q20" s="38"/>
      <c r="R20" s="38"/>
      <c r="S20" s="38"/>
    </row>
    <row r="21" spans="1:21" x14ac:dyDescent="0.3">
      <c r="B21" s="25"/>
      <c r="C21" s="25"/>
      <c r="D21" s="25"/>
      <c r="E21" s="25"/>
      <c r="F21" s="25"/>
      <c r="G21" s="25"/>
      <c r="H21" s="25"/>
      <c r="I21" s="25"/>
      <c r="J21" s="25"/>
      <c r="K21" s="25"/>
      <c r="L21" s="25"/>
      <c r="M21" s="25"/>
      <c r="N21" s="25"/>
      <c r="O21" s="25"/>
      <c r="P21" s="25"/>
      <c r="Q21" s="25"/>
      <c r="R21" s="25"/>
      <c r="S21" s="25"/>
    </row>
    <row r="22" spans="1:21" x14ac:dyDescent="0.3">
      <c r="B22" s="25"/>
      <c r="C22" s="25"/>
      <c r="D22" s="25"/>
      <c r="E22" s="25"/>
      <c r="F22" s="25"/>
      <c r="G22" s="25"/>
      <c r="H22" s="25"/>
      <c r="I22" s="25"/>
      <c r="J22" s="25"/>
      <c r="K22" s="25"/>
      <c r="L22" s="25"/>
      <c r="M22" s="25"/>
      <c r="N22" s="25"/>
      <c r="O22" s="25"/>
      <c r="P22" s="25"/>
      <c r="Q22" s="25"/>
      <c r="R22" s="25"/>
      <c r="S22" s="25"/>
    </row>
    <row r="23" spans="1:21" x14ac:dyDescent="0.3">
      <c r="B23" s="25"/>
      <c r="C23" s="25"/>
      <c r="D23" s="25"/>
      <c r="E23" s="25"/>
      <c r="F23" s="25"/>
      <c r="G23" s="25"/>
      <c r="H23" s="25"/>
      <c r="I23" s="25"/>
      <c r="J23" s="25"/>
      <c r="K23" s="25"/>
      <c r="L23" s="25"/>
      <c r="M23" s="25"/>
      <c r="N23" s="25"/>
      <c r="O23" s="25"/>
      <c r="P23" s="25"/>
      <c r="Q23" s="25"/>
      <c r="R23" s="25"/>
      <c r="S23" s="25"/>
    </row>
    <row r="24" spans="1:21" x14ac:dyDescent="0.3">
      <c r="B24" s="25"/>
      <c r="C24" s="25"/>
      <c r="D24" s="25"/>
      <c r="E24" s="25"/>
      <c r="F24" s="25"/>
      <c r="G24" s="25"/>
      <c r="H24" s="25"/>
      <c r="I24" s="25"/>
      <c r="J24" s="25"/>
      <c r="K24" s="25"/>
      <c r="L24" s="25"/>
      <c r="M24" s="25"/>
      <c r="N24" s="25"/>
      <c r="O24" s="25"/>
      <c r="P24" s="25"/>
      <c r="Q24" s="25"/>
      <c r="R24" s="25"/>
      <c r="S24" s="25"/>
    </row>
    <row r="25" spans="1:21" s="40" customFormat="1" x14ac:dyDescent="0.3">
      <c r="B25" s="41"/>
      <c r="C25" s="41"/>
      <c r="D25" s="41"/>
      <c r="E25" s="41"/>
      <c r="F25" s="41"/>
      <c r="G25" s="41"/>
      <c r="H25" s="41"/>
      <c r="I25" s="41"/>
      <c r="J25" s="41"/>
      <c r="K25" s="41"/>
      <c r="L25" s="41"/>
      <c r="M25" s="41"/>
      <c r="N25" s="41"/>
      <c r="O25" s="41"/>
      <c r="P25" s="41"/>
      <c r="Q25" s="41"/>
      <c r="R25" s="41"/>
      <c r="S25" s="41"/>
    </row>
    <row r="26" spans="1:21" x14ac:dyDescent="0.3">
      <c r="B26" s="25"/>
      <c r="C26" s="25"/>
      <c r="D26" s="25"/>
      <c r="E26" s="25"/>
      <c r="F26" s="25"/>
      <c r="G26" s="25"/>
      <c r="H26" s="25"/>
      <c r="I26" s="25"/>
      <c r="J26" s="25"/>
      <c r="K26" s="25"/>
      <c r="L26" s="25"/>
      <c r="M26" s="25"/>
      <c r="N26" s="25"/>
      <c r="O26" s="25"/>
      <c r="P26" s="25"/>
      <c r="Q26" s="25"/>
      <c r="R26" s="25"/>
      <c r="S26" s="25"/>
    </row>
    <row r="27" spans="1:21" x14ac:dyDescent="0.3">
      <c r="B27" s="25"/>
      <c r="C27" s="25"/>
      <c r="D27" s="25"/>
      <c r="E27" s="25"/>
      <c r="F27" s="25"/>
      <c r="G27" s="25"/>
      <c r="H27" s="25"/>
      <c r="I27" s="25"/>
      <c r="J27" s="25"/>
      <c r="K27" s="25"/>
      <c r="L27" s="25"/>
      <c r="M27" s="25"/>
      <c r="N27" s="25"/>
      <c r="O27" s="25"/>
      <c r="P27" s="25"/>
      <c r="Q27" s="25"/>
      <c r="R27" s="25"/>
      <c r="S27" s="25"/>
    </row>
    <row r="28" spans="1:21" x14ac:dyDescent="0.3">
      <c r="B28" s="25"/>
      <c r="C28" s="25"/>
      <c r="D28" s="25"/>
      <c r="E28" s="25"/>
      <c r="F28" s="25"/>
      <c r="G28" s="25"/>
      <c r="H28" s="25"/>
      <c r="I28" s="25"/>
      <c r="J28" s="25"/>
      <c r="K28" s="25"/>
      <c r="L28" s="25"/>
      <c r="M28" s="25"/>
      <c r="N28" s="25"/>
      <c r="O28" s="25"/>
      <c r="P28" s="25"/>
      <c r="Q28" s="25"/>
      <c r="R28" s="25"/>
      <c r="S28" s="25"/>
    </row>
    <row r="29" spans="1:21" x14ac:dyDescent="0.3">
      <c r="B29" s="25"/>
      <c r="C29" s="25"/>
      <c r="D29" s="25"/>
      <c r="E29" s="25"/>
      <c r="F29" s="25"/>
      <c r="G29" s="25"/>
      <c r="H29" s="25"/>
      <c r="I29" s="25"/>
      <c r="J29" s="25"/>
      <c r="K29" s="25"/>
      <c r="L29" s="25"/>
      <c r="M29" s="25"/>
      <c r="N29" s="25"/>
      <c r="O29" s="25"/>
      <c r="P29" s="25"/>
      <c r="Q29" s="25"/>
      <c r="R29" s="25"/>
      <c r="S29" s="25"/>
    </row>
    <row r="30" spans="1:21" x14ac:dyDescent="0.3">
      <c r="B30" s="25"/>
      <c r="C30" s="25"/>
      <c r="D30" s="25"/>
      <c r="E30" s="25"/>
      <c r="F30" s="25"/>
      <c r="G30" s="25"/>
      <c r="H30" s="25"/>
      <c r="I30" s="25"/>
      <c r="J30" s="25"/>
      <c r="K30" s="25"/>
      <c r="L30" s="25"/>
      <c r="M30" s="25"/>
      <c r="N30" s="25"/>
      <c r="O30" s="25"/>
      <c r="P30" s="25"/>
      <c r="Q30" s="25"/>
      <c r="R30" s="25"/>
      <c r="S30" s="25"/>
    </row>
    <row r="31" spans="1:21" x14ac:dyDescent="0.3">
      <c r="B31" s="25"/>
      <c r="C31" s="25"/>
      <c r="D31" s="25"/>
      <c r="E31" s="25"/>
      <c r="F31" s="25"/>
      <c r="G31" s="25"/>
      <c r="H31" s="25"/>
      <c r="I31" s="25"/>
      <c r="J31" s="25"/>
      <c r="K31" s="25"/>
      <c r="L31" s="25"/>
      <c r="M31" s="25"/>
      <c r="N31" s="25"/>
      <c r="O31" s="25"/>
      <c r="P31" s="25"/>
      <c r="Q31" s="25"/>
      <c r="R31" s="25"/>
      <c r="S31" s="25"/>
    </row>
    <row r="32" spans="1:21" x14ac:dyDescent="0.3">
      <c r="B32" s="25"/>
      <c r="C32" s="25"/>
      <c r="D32" s="25"/>
      <c r="E32" s="25"/>
      <c r="F32" s="25"/>
      <c r="G32" s="25"/>
      <c r="H32" s="25"/>
      <c r="I32" s="25"/>
      <c r="J32" s="25"/>
      <c r="K32" s="25"/>
      <c r="L32" s="25"/>
      <c r="M32" s="25"/>
      <c r="N32" s="25"/>
      <c r="O32" s="25"/>
      <c r="P32" s="25"/>
      <c r="Q32" s="25"/>
      <c r="R32" s="25"/>
      <c r="S32" s="25"/>
    </row>
    <row r="33" spans="2:19" x14ac:dyDescent="0.3">
      <c r="B33" s="25"/>
      <c r="C33" s="25"/>
      <c r="D33" s="25"/>
      <c r="E33" s="25"/>
      <c r="F33" s="25"/>
      <c r="G33" s="25"/>
      <c r="H33" s="25"/>
      <c r="I33" s="25"/>
      <c r="J33" s="25"/>
      <c r="K33" s="25"/>
      <c r="L33" s="25"/>
      <c r="M33" s="25"/>
      <c r="N33" s="25"/>
      <c r="O33" s="25"/>
      <c r="P33" s="25"/>
      <c r="Q33" s="25"/>
      <c r="R33" s="25"/>
      <c r="S33" s="25"/>
    </row>
    <row r="34" spans="2:19" x14ac:dyDescent="0.3">
      <c r="B34" s="25"/>
      <c r="C34" s="25"/>
      <c r="D34" s="25"/>
      <c r="E34" s="25"/>
      <c r="F34" s="25"/>
      <c r="G34" s="25"/>
      <c r="H34" s="25"/>
      <c r="I34" s="25"/>
      <c r="J34" s="25"/>
      <c r="K34" s="25"/>
      <c r="L34" s="25"/>
      <c r="M34" s="25"/>
      <c r="N34" s="25"/>
      <c r="O34" s="25"/>
      <c r="P34" s="25"/>
      <c r="Q34" s="25"/>
      <c r="R34" s="25"/>
      <c r="S34" s="25"/>
    </row>
    <row r="35" spans="2:19" x14ac:dyDescent="0.3">
      <c r="B35" s="25"/>
      <c r="C35" s="25"/>
      <c r="D35" s="25"/>
      <c r="E35" s="25"/>
      <c r="F35" s="25"/>
      <c r="G35" s="25"/>
      <c r="H35" s="25"/>
      <c r="I35" s="25"/>
      <c r="J35" s="25"/>
      <c r="K35" s="25"/>
      <c r="L35" s="25"/>
      <c r="M35" s="25"/>
      <c r="N35" s="25"/>
      <c r="O35" s="25"/>
      <c r="P35" s="25"/>
      <c r="Q35" s="25"/>
      <c r="R35" s="25"/>
      <c r="S35" s="25"/>
    </row>
    <row r="36" spans="2:19" x14ac:dyDescent="0.3">
      <c r="B36" s="25"/>
      <c r="C36" s="25"/>
      <c r="D36" s="25"/>
      <c r="E36" s="25"/>
      <c r="F36" s="25"/>
      <c r="G36" s="25"/>
      <c r="H36" s="25"/>
      <c r="I36" s="25"/>
      <c r="J36" s="25"/>
      <c r="K36" s="25"/>
      <c r="L36" s="25"/>
      <c r="M36" s="25"/>
      <c r="N36" s="25"/>
      <c r="O36" s="25"/>
      <c r="P36" s="25"/>
      <c r="Q36" s="25"/>
      <c r="R36" s="25"/>
      <c r="S36" s="25"/>
    </row>
    <row r="37" spans="2:19" x14ac:dyDescent="0.3">
      <c r="B37" s="25"/>
      <c r="C37" s="25"/>
      <c r="D37" s="25"/>
      <c r="E37" s="25"/>
      <c r="F37" s="25"/>
      <c r="G37" s="25"/>
      <c r="H37" s="25"/>
      <c r="I37" s="25"/>
      <c r="J37" s="25"/>
      <c r="K37" s="25"/>
      <c r="L37" s="25"/>
      <c r="M37" s="25"/>
      <c r="N37" s="25"/>
      <c r="O37" s="25"/>
      <c r="P37" s="25"/>
      <c r="Q37" s="25"/>
      <c r="R37" s="25"/>
      <c r="S37" s="25"/>
    </row>
    <row r="38" spans="2:19" x14ac:dyDescent="0.3">
      <c r="B38" s="25"/>
      <c r="C38" s="25"/>
      <c r="D38" s="25"/>
      <c r="E38" s="25"/>
      <c r="F38" s="25"/>
      <c r="G38" s="25"/>
      <c r="H38" s="25"/>
      <c r="I38" s="25"/>
      <c r="J38" s="25"/>
      <c r="K38" s="25"/>
      <c r="L38" s="25"/>
      <c r="M38" s="25"/>
      <c r="N38" s="25"/>
      <c r="O38" s="25"/>
      <c r="P38" s="25"/>
      <c r="Q38" s="25"/>
      <c r="R38" s="25"/>
      <c r="S38" s="25"/>
    </row>
    <row r="39" spans="2:19" x14ac:dyDescent="0.3">
      <c r="B39" s="25"/>
      <c r="C39" s="25"/>
      <c r="D39" s="25"/>
      <c r="E39" s="25"/>
      <c r="F39" s="25"/>
      <c r="G39" s="25"/>
      <c r="H39" s="25"/>
      <c r="I39" s="25"/>
      <c r="J39" s="25"/>
      <c r="K39" s="25"/>
      <c r="L39" s="25"/>
      <c r="M39" s="25"/>
      <c r="N39" s="25"/>
      <c r="O39" s="25"/>
      <c r="P39" s="25"/>
      <c r="Q39" s="25"/>
      <c r="R39" s="25"/>
      <c r="S39" s="25"/>
    </row>
    <row r="40" spans="2:19" x14ac:dyDescent="0.3">
      <c r="B40" s="25"/>
      <c r="C40" s="25"/>
      <c r="D40" s="25"/>
      <c r="E40" s="25"/>
      <c r="F40" s="25"/>
      <c r="G40" s="25"/>
      <c r="H40" s="25"/>
      <c r="I40" s="25"/>
      <c r="J40" s="25"/>
      <c r="K40" s="25"/>
      <c r="L40" s="25"/>
      <c r="M40" s="25"/>
      <c r="N40" s="25"/>
      <c r="O40" s="25"/>
      <c r="P40" s="25"/>
      <c r="Q40" s="25"/>
      <c r="R40" s="25"/>
      <c r="S40" s="25"/>
    </row>
    <row r="41" spans="2:19" x14ac:dyDescent="0.3">
      <c r="B41" s="25"/>
      <c r="C41" s="25"/>
      <c r="D41" s="25"/>
      <c r="E41" s="25"/>
      <c r="F41" s="25"/>
      <c r="G41" s="25"/>
      <c r="H41" s="25"/>
      <c r="I41" s="25"/>
      <c r="J41" s="25"/>
      <c r="K41" s="25"/>
      <c r="L41" s="25"/>
      <c r="M41" s="25"/>
      <c r="N41" s="25"/>
      <c r="O41" s="25"/>
      <c r="P41" s="25"/>
      <c r="Q41" s="25"/>
      <c r="R41" s="25"/>
      <c r="S41" s="25"/>
    </row>
    <row r="42" spans="2:19" x14ac:dyDescent="0.3">
      <c r="B42" s="25"/>
      <c r="C42" s="25"/>
      <c r="D42" s="25"/>
      <c r="E42" s="25"/>
      <c r="F42" s="25"/>
      <c r="G42" s="25"/>
      <c r="H42" s="25"/>
      <c r="I42" s="25"/>
      <c r="J42" s="25"/>
      <c r="K42" s="25"/>
      <c r="L42" s="25"/>
      <c r="M42" s="25"/>
      <c r="N42" s="25"/>
      <c r="O42" s="25"/>
      <c r="P42" s="25"/>
      <c r="Q42" s="25"/>
      <c r="R42" s="25"/>
      <c r="S42" s="25"/>
    </row>
    <row r="43" spans="2:19" x14ac:dyDescent="0.3">
      <c r="B43" s="25"/>
      <c r="C43" s="25"/>
      <c r="D43" s="25"/>
      <c r="E43" s="25"/>
      <c r="F43" s="25"/>
      <c r="G43" s="25"/>
      <c r="H43" s="25"/>
      <c r="I43" s="25"/>
      <c r="J43" s="25"/>
      <c r="K43" s="25"/>
      <c r="L43" s="25"/>
      <c r="M43" s="25"/>
      <c r="N43" s="25"/>
      <c r="O43" s="25"/>
      <c r="P43" s="25"/>
      <c r="Q43" s="25"/>
      <c r="R43" s="25"/>
      <c r="S43" s="25"/>
    </row>
    <row r="44" spans="2:19" x14ac:dyDescent="0.3">
      <c r="B44" s="25"/>
      <c r="C44" s="25"/>
      <c r="D44" s="25"/>
      <c r="E44" s="25"/>
      <c r="F44" s="25"/>
      <c r="G44" s="25"/>
      <c r="H44" s="25"/>
      <c r="I44" s="25"/>
      <c r="J44" s="25"/>
      <c r="K44" s="25"/>
      <c r="L44" s="25"/>
      <c r="M44" s="25"/>
      <c r="N44" s="25"/>
      <c r="O44" s="25"/>
      <c r="P44" s="25"/>
      <c r="Q44" s="25"/>
      <c r="R44" s="25"/>
      <c r="S44" s="25"/>
    </row>
    <row r="45" spans="2:19" x14ac:dyDescent="0.3">
      <c r="B45" s="25"/>
      <c r="C45" s="25"/>
      <c r="D45" s="25"/>
      <c r="E45" s="25"/>
      <c r="F45" s="25"/>
      <c r="G45" s="25"/>
      <c r="H45" s="25"/>
      <c r="I45" s="25"/>
      <c r="J45" s="25"/>
      <c r="K45" s="25"/>
      <c r="L45" s="25"/>
      <c r="M45" s="25"/>
      <c r="N45" s="25"/>
      <c r="O45" s="25"/>
      <c r="P45" s="25"/>
      <c r="Q45" s="25"/>
      <c r="R45" s="25"/>
      <c r="S45" s="25"/>
    </row>
    <row r="46" spans="2:19" x14ac:dyDescent="0.3">
      <c r="B46" s="25"/>
      <c r="C46" s="25"/>
      <c r="D46" s="25"/>
      <c r="E46" s="25"/>
      <c r="F46" s="25"/>
      <c r="G46" s="25"/>
      <c r="H46" s="25"/>
      <c r="I46" s="25"/>
      <c r="J46" s="25"/>
      <c r="K46" s="25"/>
      <c r="L46" s="25"/>
      <c r="M46" s="25"/>
      <c r="N46" s="25"/>
      <c r="O46" s="25"/>
      <c r="P46" s="25"/>
      <c r="Q46" s="25"/>
      <c r="R46" s="25"/>
      <c r="S46" s="25"/>
    </row>
    <row r="47" spans="2:19" x14ac:dyDescent="0.3">
      <c r="B47" s="25"/>
      <c r="C47" s="25"/>
      <c r="D47" s="25"/>
      <c r="E47" s="25"/>
      <c r="F47" s="25"/>
      <c r="G47" s="25"/>
      <c r="H47" s="25"/>
      <c r="I47" s="25"/>
      <c r="J47" s="25"/>
      <c r="K47" s="25"/>
      <c r="L47" s="25"/>
      <c r="M47" s="25"/>
      <c r="N47" s="25"/>
      <c r="O47" s="25"/>
      <c r="P47" s="25"/>
      <c r="Q47" s="25"/>
      <c r="R47" s="25"/>
      <c r="S47" s="25"/>
    </row>
    <row r="48" spans="2:19" x14ac:dyDescent="0.3">
      <c r="B48" s="25"/>
      <c r="C48" s="25"/>
      <c r="D48" s="25"/>
      <c r="E48" s="25"/>
      <c r="F48" s="25"/>
      <c r="G48" s="25"/>
      <c r="H48" s="25"/>
      <c r="I48" s="25"/>
      <c r="J48" s="25"/>
      <c r="K48" s="25"/>
      <c r="L48" s="25"/>
      <c r="M48" s="25"/>
      <c r="N48" s="25"/>
      <c r="O48" s="25"/>
      <c r="P48" s="25"/>
      <c r="Q48" s="25"/>
      <c r="R48" s="25"/>
      <c r="S48" s="25"/>
    </row>
    <row r="49" spans="2:19" x14ac:dyDescent="0.3">
      <c r="B49" s="25"/>
      <c r="C49" s="25"/>
      <c r="D49" s="25"/>
      <c r="E49" s="25"/>
      <c r="F49" s="25"/>
      <c r="G49" s="25"/>
      <c r="H49" s="25"/>
      <c r="I49" s="25"/>
      <c r="J49" s="25"/>
      <c r="K49" s="25"/>
      <c r="L49" s="25"/>
      <c r="M49" s="25"/>
      <c r="N49" s="25"/>
      <c r="O49" s="25"/>
      <c r="P49" s="25"/>
      <c r="Q49" s="25"/>
      <c r="R49" s="25"/>
      <c r="S49" s="25"/>
    </row>
    <row r="50" spans="2:19" x14ac:dyDescent="0.3">
      <c r="B50" s="25"/>
      <c r="C50" s="25"/>
      <c r="D50" s="25"/>
      <c r="E50" s="25"/>
      <c r="F50" s="25"/>
      <c r="G50" s="25"/>
      <c r="H50" s="25"/>
      <c r="I50" s="25"/>
      <c r="J50" s="25"/>
      <c r="K50" s="25"/>
      <c r="L50" s="25"/>
      <c r="M50" s="25"/>
      <c r="N50" s="25"/>
      <c r="O50" s="25"/>
      <c r="P50" s="25"/>
      <c r="Q50" s="25"/>
      <c r="R50" s="25"/>
      <c r="S50" s="25"/>
    </row>
    <row r="51" spans="2:19" x14ac:dyDescent="0.3">
      <c r="B51" s="25"/>
      <c r="C51" s="25"/>
      <c r="D51" s="25"/>
      <c r="E51" s="25"/>
      <c r="F51" s="25"/>
      <c r="G51" s="25"/>
      <c r="H51" s="25"/>
      <c r="I51" s="25"/>
      <c r="J51" s="25"/>
      <c r="K51" s="25"/>
      <c r="L51" s="25"/>
      <c r="M51" s="25"/>
      <c r="N51" s="25"/>
      <c r="O51" s="25"/>
      <c r="P51" s="25"/>
      <c r="Q51" s="25"/>
      <c r="R51" s="25"/>
      <c r="S51" s="25"/>
    </row>
    <row r="52" spans="2:19" x14ac:dyDescent="0.3">
      <c r="B52" s="25"/>
      <c r="C52" s="25"/>
      <c r="D52" s="25"/>
      <c r="E52" s="25"/>
      <c r="F52" s="25"/>
      <c r="G52" s="25"/>
      <c r="H52" s="25"/>
      <c r="I52" s="25"/>
      <c r="J52" s="25"/>
      <c r="K52" s="25"/>
      <c r="L52" s="25"/>
      <c r="M52" s="25"/>
      <c r="N52" s="25"/>
      <c r="O52" s="25"/>
      <c r="P52" s="25"/>
      <c r="Q52" s="25"/>
      <c r="R52" s="25"/>
      <c r="S52" s="25"/>
    </row>
    <row r="53" spans="2:19" x14ac:dyDescent="0.3">
      <c r="B53" s="25"/>
      <c r="C53" s="25"/>
      <c r="D53" s="25"/>
      <c r="E53" s="25"/>
      <c r="F53" s="25"/>
      <c r="G53" s="25"/>
      <c r="H53" s="25"/>
      <c r="I53" s="25"/>
      <c r="J53" s="25"/>
      <c r="K53" s="25"/>
      <c r="L53" s="25"/>
      <c r="M53" s="25"/>
      <c r="N53" s="25"/>
      <c r="O53" s="25"/>
      <c r="P53" s="25"/>
      <c r="Q53" s="25"/>
      <c r="R53" s="25"/>
      <c r="S53" s="25"/>
    </row>
    <row r="54" spans="2:19" x14ac:dyDescent="0.3">
      <c r="B54" s="25"/>
      <c r="C54" s="25"/>
      <c r="D54" s="25"/>
      <c r="E54" s="25"/>
      <c r="F54" s="25"/>
      <c r="G54" s="25"/>
      <c r="H54" s="25"/>
      <c r="I54" s="25"/>
      <c r="J54" s="25"/>
      <c r="K54" s="25"/>
      <c r="L54" s="25"/>
      <c r="M54" s="25"/>
      <c r="N54" s="25"/>
      <c r="O54" s="25"/>
      <c r="P54" s="25"/>
      <c r="Q54" s="25"/>
      <c r="R54" s="25"/>
      <c r="S54" s="25"/>
    </row>
    <row r="55" spans="2:19" x14ac:dyDescent="0.3">
      <c r="B55" s="25"/>
      <c r="C55" s="25"/>
      <c r="D55" s="25"/>
      <c r="E55" s="25"/>
      <c r="F55" s="25"/>
      <c r="G55" s="25"/>
      <c r="H55" s="25"/>
      <c r="I55" s="25"/>
      <c r="J55" s="25"/>
      <c r="K55" s="25"/>
      <c r="L55" s="25"/>
      <c r="M55" s="25"/>
      <c r="N55" s="25"/>
      <c r="O55" s="25"/>
      <c r="P55" s="25"/>
      <c r="Q55" s="25"/>
      <c r="R55" s="25"/>
      <c r="S55" s="25"/>
    </row>
    <row r="56" spans="2:19" x14ac:dyDescent="0.3">
      <c r="B56" s="25"/>
      <c r="C56" s="25"/>
      <c r="D56" s="25"/>
      <c r="E56" s="25"/>
      <c r="F56" s="25"/>
      <c r="G56" s="25"/>
      <c r="H56" s="25"/>
      <c r="I56" s="25"/>
      <c r="J56" s="25"/>
      <c r="K56" s="25"/>
      <c r="L56" s="25"/>
      <c r="M56" s="25"/>
      <c r="N56" s="25"/>
      <c r="O56" s="25"/>
      <c r="P56" s="25"/>
      <c r="Q56" s="25"/>
      <c r="R56" s="25"/>
      <c r="S56" s="25"/>
    </row>
    <row r="57" spans="2:19" x14ac:dyDescent="0.3">
      <c r="B57" s="25"/>
      <c r="C57" s="25"/>
      <c r="D57" s="25"/>
      <c r="E57" s="25"/>
      <c r="F57" s="25"/>
      <c r="G57" s="25"/>
      <c r="H57" s="25"/>
      <c r="I57" s="25"/>
      <c r="J57" s="25"/>
      <c r="K57" s="25"/>
      <c r="L57" s="25"/>
      <c r="M57" s="25"/>
      <c r="N57" s="25"/>
      <c r="O57" s="25"/>
      <c r="P57" s="25"/>
      <c r="Q57" s="25"/>
      <c r="R57" s="25"/>
      <c r="S57" s="25"/>
    </row>
    <row r="58" spans="2:19" x14ac:dyDescent="0.3">
      <c r="B58" s="25"/>
      <c r="C58" s="25"/>
      <c r="D58" s="25"/>
      <c r="E58" s="25"/>
      <c r="F58" s="25"/>
      <c r="G58" s="25"/>
      <c r="H58" s="25"/>
      <c r="I58" s="25"/>
      <c r="J58" s="25"/>
      <c r="K58" s="25"/>
      <c r="L58" s="25"/>
      <c r="M58" s="25"/>
      <c r="N58" s="25"/>
      <c r="O58" s="25"/>
      <c r="P58" s="25"/>
      <c r="Q58" s="25"/>
      <c r="R58" s="25"/>
      <c r="S58" s="25"/>
    </row>
    <row r="59" spans="2:19" x14ac:dyDescent="0.3">
      <c r="B59" s="25"/>
      <c r="C59" s="25"/>
      <c r="D59" s="25"/>
      <c r="E59" s="25"/>
      <c r="F59" s="25"/>
      <c r="G59" s="25"/>
      <c r="H59" s="25"/>
      <c r="I59" s="25"/>
      <c r="J59" s="25"/>
      <c r="K59" s="25"/>
      <c r="L59" s="25"/>
      <c r="M59" s="25"/>
      <c r="N59" s="25"/>
      <c r="O59" s="25"/>
      <c r="P59" s="25"/>
      <c r="Q59" s="25"/>
      <c r="R59" s="25"/>
      <c r="S59" s="25"/>
    </row>
    <row r="60" spans="2:19" x14ac:dyDescent="0.3">
      <c r="B60" s="25"/>
      <c r="C60" s="25"/>
      <c r="D60" s="25"/>
      <c r="E60" s="25"/>
      <c r="F60" s="25"/>
      <c r="G60" s="25"/>
      <c r="H60" s="25"/>
      <c r="I60" s="25"/>
      <c r="J60" s="25"/>
      <c r="K60" s="25"/>
      <c r="L60" s="25"/>
      <c r="M60" s="25"/>
      <c r="N60" s="25"/>
      <c r="O60" s="25"/>
      <c r="P60" s="25"/>
      <c r="Q60" s="25"/>
      <c r="R60" s="25"/>
      <c r="S60" s="25"/>
    </row>
    <row r="61" spans="2:19" x14ac:dyDescent="0.3">
      <c r="B61" s="25"/>
      <c r="C61" s="25"/>
      <c r="D61" s="25"/>
      <c r="E61" s="25"/>
      <c r="F61" s="25"/>
      <c r="G61" s="25"/>
      <c r="H61" s="25"/>
      <c r="I61" s="25"/>
      <c r="J61" s="25"/>
      <c r="K61" s="25"/>
      <c r="L61" s="25"/>
      <c r="M61" s="25"/>
      <c r="N61" s="25"/>
      <c r="O61" s="25"/>
      <c r="P61" s="25"/>
      <c r="Q61" s="25"/>
      <c r="R61" s="25"/>
      <c r="S61" s="25"/>
    </row>
    <row r="62" spans="2:19" x14ac:dyDescent="0.3">
      <c r="B62" s="25"/>
      <c r="C62" s="25"/>
      <c r="D62" s="25"/>
      <c r="E62" s="25"/>
      <c r="F62" s="25"/>
      <c r="G62" s="25"/>
      <c r="H62" s="25"/>
      <c r="I62" s="25"/>
      <c r="J62" s="25"/>
      <c r="K62" s="25"/>
      <c r="L62" s="25"/>
      <c r="M62" s="25"/>
      <c r="N62" s="25"/>
      <c r="O62" s="25"/>
      <c r="P62" s="25"/>
      <c r="Q62" s="25"/>
      <c r="R62" s="25"/>
      <c r="S62" s="25"/>
    </row>
    <row r="63" spans="2:19" x14ac:dyDescent="0.3">
      <c r="B63" s="25"/>
      <c r="C63" s="25"/>
      <c r="D63" s="25"/>
      <c r="E63" s="25"/>
      <c r="F63" s="25"/>
      <c r="G63" s="25"/>
      <c r="H63" s="25"/>
      <c r="I63" s="25"/>
      <c r="J63" s="25"/>
      <c r="K63" s="25"/>
      <c r="L63" s="25"/>
      <c r="M63" s="25"/>
      <c r="N63" s="25"/>
      <c r="O63" s="25"/>
      <c r="P63" s="25"/>
      <c r="Q63" s="25"/>
      <c r="R63" s="25"/>
      <c r="S63" s="25"/>
    </row>
    <row r="64" spans="2:19" x14ac:dyDescent="0.3">
      <c r="B64" s="25"/>
      <c r="C64" s="25"/>
      <c r="D64" s="25"/>
      <c r="E64" s="25"/>
      <c r="F64" s="25"/>
      <c r="G64" s="25"/>
      <c r="H64" s="25"/>
      <c r="I64" s="25"/>
      <c r="J64" s="25"/>
      <c r="K64" s="25"/>
      <c r="L64" s="25"/>
      <c r="M64" s="25"/>
      <c r="N64" s="25"/>
      <c r="O64" s="25"/>
      <c r="P64" s="25"/>
      <c r="Q64" s="25"/>
      <c r="R64" s="25"/>
      <c r="S64" s="25"/>
    </row>
    <row r="65" spans="2:19" x14ac:dyDescent="0.3">
      <c r="B65" s="25"/>
      <c r="C65" s="25"/>
      <c r="D65" s="25"/>
      <c r="E65" s="25"/>
      <c r="F65" s="25"/>
      <c r="G65" s="25"/>
      <c r="H65" s="25"/>
      <c r="I65" s="25"/>
      <c r="J65" s="25"/>
      <c r="K65" s="25"/>
      <c r="L65" s="25"/>
      <c r="M65" s="25"/>
      <c r="N65" s="25"/>
      <c r="O65" s="25"/>
      <c r="P65" s="25"/>
      <c r="Q65" s="25"/>
      <c r="R65" s="25"/>
      <c r="S65" s="25"/>
    </row>
    <row r="66" spans="2:19" x14ac:dyDescent="0.3">
      <c r="B66" s="25"/>
      <c r="C66" s="25"/>
      <c r="D66" s="25"/>
      <c r="E66" s="25"/>
      <c r="F66" s="25"/>
      <c r="G66" s="25"/>
      <c r="H66" s="25"/>
      <c r="I66" s="25"/>
      <c r="J66" s="25"/>
      <c r="K66" s="25"/>
      <c r="L66" s="25"/>
      <c r="M66" s="25"/>
      <c r="N66" s="25"/>
      <c r="O66" s="25"/>
      <c r="P66" s="25"/>
      <c r="Q66" s="25"/>
      <c r="R66" s="25"/>
      <c r="S66" s="25"/>
    </row>
    <row r="67" spans="2:19" x14ac:dyDescent="0.3">
      <c r="B67" s="25"/>
      <c r="C67" s="25"/>
      <c r="D67" s="25"/>
      <c r="E67" s="25"/>
      <c r="F67" s="25"/>
      <c r="G67" s="25"/>
      <c r="H67" s="25"/>
      <c r="I67" s="25"/>
      <c r="J67" s="25"/>
      <c r="K67" s="25"/>
      <c r="L67" s="25"/>
      <c r="M67" s="25"/>
      <c r="N67" s="25"/>
      <c r="O67" s="25"/>
      <c r="P67" s="25"/>
      <c r="Q67" s="25"/>
      <c r="R67" s="25"/>
      <c r="S67" s="25"/>
    </row>
    <row r="68" spans="2:19" x14ac:dyDescent="0.3">
      <c r="B68" s="25"/>
      <c r="C68" s="25"/>
      <c r="D68" s="25"/>
      <c r="E68" s="25"/>
      <c r="F68" s="25"/>
      <c r="G68" s="25"/>
      <c r="H68" s="25"/>
      <c r="I68" s="25"/>
      <c r="J68" s="25"/>
      <c r="K68" s="25"/>
      <c r="L68" s="25"/>
      <c r="M68" s="25"/>
      <c r="N68" s="25"/>
      <c r="O68" s="25"/>
      <c r="P68" s="25"/>
      <c r="Q68" s="25"/>
      <c r="R68" s="25"/>
      <c r="S68" s="25"/>
    </row>
    <row r="69" spans="2:19" x14ac:dyDescent="0.3">
      <c r="B69" s="25"/>
      <c r="C69" s="25"/>
      <c r="D69" s="25"/>
      <c r="E69" s="25"/>
      <c r="F69" s="25"/>
      <c r="G69" s="25"/>
      <c r="H69" s="25"/>
      <c r="I69" s="25"/>
      <c r="J69" s="25"/>
      <c r="K69" s="25"/>
      <c r="L69" s="25"/>
      <c r="M69" s="25"/>
      <c r="N69" s="25"/>
      <c r="O69" s="25"/>
      <c r="P69" s="25"/>
      <c r="Q69" s="25"/>
      <c r="R69" s="25"/>
      <c r="S69" s="25"/>
    </row>
    <row r="70" spans="2:19" x14ac:dyDescent="0.3">
      <c r="B70" s="25"/>
      <c r="C70" s="25"/>
      <c r="D70" s="25"/>
      <c r="E70" s="25"/>
      <c r="F70" s="25"/>
      <c r="G70" s="25"/>
      <c r="H70" s="25"/>
      <c r="I70" s="25"/>
      <c r="J70" s="25"/>
      <c r="K70" s="25"/>
      <c r="L70" s="25"/>
      <c r="M70" s="25"/>
      <c r="N70" s="25"/>
      <c r="O70" s="25"/>
      <c r="P70" s="25"/>
      <c r="Q70" s="25"/>
      <c r="R70" s="25"/>
      <c r="S70" s="25"/>
    </row>
    <row r="71" spans="2:19" x14ac:dyDescent="0.3">
      <c r="B71" s="25"/>
      <c r="C71" s="25"/>
      <c r="D71" s="25"/>
      <c r="E71" s="25"/>
      <c r="F71" s="25"/>
      <c r="G71" s="25"/>
      <c r="H71" s="25"/>
      <c r="I71" s="25"/>
      <c r="J71" s="25"/>
      <c r="K71" s="25"/>
      <c r="L71" s="25"/>
      <c r="M71" s="25"/>
      <c r="N71" s="25"/>
      <c r="O71" s="25"/>
      <c r="P71" s="25"/>
      <c r="Q71" s="25"/>
      <c r="R71" s="25"/>
      <c r="S71" s="25"/>
    </row>
    <row r="72" spans="2:19" x14ac:dyDescent="0.3">
      <c r="B72" s="25"/>
      <c r="C72" s="25"/>
      <c r="D72" s="25"/>
      <c r="E72" s="25"/>
      <c r="F72" s="25"/>
      <c r="G72" s="25"/>
      <c r="H72" s="25"/>
      <c r="I72" s="25"/>
      <c r="J72" s="25"/>
      <c r="K72" s="25"/>
      <c r="L72" s="25"/>
      <c r="M72" s="25"/>
      <c r="N72" s="25"/>
      <c r="O72" s="25"/>
      <c r="P72" s="25"/>
      <c r="Q72" s="25"/>
      <c r="R72" s="25"/>
      <c r="S72" s="25"/>
    </row>
    <row r="73" spans="2:19" x14ac:dyDescent="0.3">
      <c r="B73" s="25"/>
      <c r="C73" s="25"/>
      <c r="D73" s="25"/>
      <c r="E73" s="25"/>
      <c r="F73" s="25"/>
      <c r="G73" s="25"/>
      <c r="H73" s="25"/>
      <c r="I73" s="25"/>
      <c r="J73" s="25"/>
      <c r="K73" s="25"/>
      <c r="L73" s="25"/>
      <c r="M73" s="25"/>
      <c r="N73" s="25"/>
      <c r="O73" s="25"/>
      <c r="P73" s="25"/>
      <c r="Q73" s="25"/>
      <c r="R73" s="25"/>
      <c r="S73" s="25"/>
    </row>
    <row r="74" spans="2:19" x14ac:dyDescent="0.3">
      <c r="B74" s="25"/>
      <c r="C74" s="25"/>
      <c r="D74" s="25"/>
      <c r="E74" s="25"/>
      <c r="F74" s="25"/>
      <c r="G74" s="25"/>
      <c r="H74" s="25"/>
      <c r="I74" s="25"/>
      <c r="J74" s="25"/>
      <c r="K74" s="25"/>
      <c r="L74" s="25"/>
      <c r="M74" s="25"/>
      <c r="N74" s="25"/>
      <c r="O74" s="25"/>
      <c r="P74" s="25"/>
      <c r="Q74" s="25"/>
      <c r="R74" s="25"/>
      <c r="S74" s="25"/>
    </row>
    <row r="75" spans="2:19" x14ac:dyDescent="0.3">
      <c r="B75" s="25"/>
      <c r="C75" s="25"/>
      <c r="D75" s="25"/>
      <c r="E75" s="25"/>
      <c r="F75" s="25"/>
      <c r="G75" s="25"/>
      <c r="H75" s="25"/>
      <c r="I75" s="25"/>
      <c r="J75" s="25"/>
      <c r="K75" s="25"/>
      <c r="L75" s="25"/>
      <c r="M75" s="25"/>
      <c r="N75" s="25"/>
      <c r="O75" s="25"/>
      <c r="P75" s="25"/>
      <c r="Q75" s="25"/>
      <c r="R75" s="25"/>
      <c r="S75" s="25"/>
    </row>
    <row r="76" spans="2:19" x14ac:dyDescent="0.3">
      <c r="B76" s="25"/>
      <c r="C76" s="25"/>
      <c r="D76" s="25"/>
      <c r="E76" s="25"/>
      <c r="F76" s="25"/>
      <c r="G76" s="25"/>
      <c r="H76" s="25"/>
      <c r="I76" s="25"/>
      <c r="J76" s="25"/>
      <c r="K76" s="25"/>
      <c r="L76" s="25"/>
      <c r="M76" s="25"/>
      <c r="N76" s="25"/>
      <c r="O76" s="25"/>
      <c r="P76" s="25"/>
      <c r="Q76" s="25"/>
      <c r="R76" s="25"/>
      <c r="S76" s="25"/>
    </row>
    <row r="77" spans="2:19" x14ac:dyDescent="0.3">
      <c r="B77" s="25"/>
      <c r="C77" s="25"/>
      <c r="D77" s="25"/>
      <c r="E77" s="25"/>
      <c r="F77" s="25"/>
      <c r="G77" s="25"/>
      <c r="H77" s="25"/>
      <c r="I77" s="25"/>
      <c r="J77" s="25"/>
      <c r="K77" s="25"/>
      <c r="L77" s="25"/>
      <c r="M77" s="25"/>
      <c r="N77" s="25"/>
      <c r="O77" s="25"/>
      <c r="P77" s="25"/>
      <c r="Q77" s="25"/>
      <c r="R77" s="25"/>
      <c r="S77" s="25"/>
    </row>
    <row r="78" spans="2:19" x14ac:dyDescent="0.3">
      <c r="B78" s="25"/>
      <c r="C78" s="25"/>
      <c r="D78" s="25"/>
      <c r="E78" s="25"/>
      <c r="F78" s="25"/>
      <c r="G78" s="25"/>
      <c r="H78" s="25"/>
      <c r="I78" s="25"/>
      <c r="J78" s="25"/>
      <c r="K78" s="25"/>
      <c r="L78" s="25"/>
      <c r="M78" s="25"/>
      <c r="N78" s="25"/>
      <c r="O78" s="25"/>
      <c r="P78" s="25"/>
      <c r="Q78" s="25"/>
      <c r="R78" s="25"/>
      <c r="S78" s="25"/>
    </row>
    <row r="79" spans="2:19" x14ac:dyDescent="0.3">
      <c r="B79" s="25"/>
      <c r="C79" s="25"/>
      <c r="D79" s="25"/>
      <c r="E79" s="25"/>
      <c r="F79" s="25"/>
      <c r="G79" s="25"/>
      <c r="H79" s="25"/>
      <c r="I79" s="25"/>
      <c r="J79" s="25"/>
      <c r="K79" s="25"/>
      <c r="L79" s="25"/>
      <c r="M79" s="25"/>
      <c r="N79" s="25"/>
      <c r="O79" s="25"/>
      <c r="P79" s="25"/>
      <c r="Q79" s="25"/>
      <c r="R79" s="25"/>
      <c r="S79" s="25"/>
    </row>
    <row r="80" spans="2:19" x14ac:dyDescent="0.3">
      <c r="B80" s="25"/>
      <c r="C80" s="25"/>
      <c r="D80" s="25"/>
      <c r="E80" s="25"/>
      <c r="F80" s="25"/>
      <c r="G80" s="25"/>
      <c r="H80" s="25"/>
      <c r="I80" s="25"/>
      <c r="J80" s="25"/>
      <c r="K80" s="25"/>
      <c r="L80" s="25"/>
      <c r="M80" s="25"/>
      <c r="N80" s="25"/>
      <c r="O80" s="25"/>
      <c r="P80" s="25"/>
      <c r="Q80" s="25"/>
      <c r="R80" s="25"/>
      <c r="S80" s="25"/>
    </row>
    <row r="81" spans="2:19" x14ac:dyDescent="0.3">
      <c r="B81" s="25"/>
      <c r="C81" s="25"/>
      <c r="D81" s="25"/>
      <c r="E81" s="25"/>
      <c r="F81" s="25"/>
      <c r="G81" s="25"/>
      <c r="H81" s="25"/>
      <c r="I81" s="25"/>
      <c r="J81" s="25"/>
      <c r="K81" s="25"/>
      <c r="L81" s="25"/>
      <c r="M81" s="25"/>
      <c r="N81" s="25"/>
      <c r="O81" s="25"/>
      <c r="P81" s="25"/>
      <c r="Q81" s="25"/>
      <c r="R81" s="25"/>
      <c r="S81" s="25"/>
    </row>
    <row r="82" spans="2:19" x14ac:dyDescent="0.3">
      <c r="B82" s="25"/>
      <c r="C82" s="25"/>
      <c r="D82" s="25"/>
      <c r="E82" s="25"/>
      <c r="F82" s="25"/>
      <c r="G82" s="25"/>
      <c r="H82" s="25"/>
      <c r="I82" s="25"/>
      <c r="J82" s="25"/>
      <c r="K82" s="25"/>
      <c r="L82" s="25"/>
      <c r="M82" s="25"/>
      <c r="N82" s="25"/>
      <c r="O82" s="25"/>
      <c r="P82" s="25"/>
      <c r="Q82" s="25"/>
      <c r="R82" s="25"/>
      <c r="S82" s="25"/>
    </row>
    <row r="83" spans="2:19" x14ac:dyDescent="0.3">
      <c r="B83" s="25"/>
      <c r="C83" s="25"/>
      <c r="D83" s="25"/>
      <c r="E83" s="25"/>
      <c r="F83" s="25"/>
      <c r="G83" s="25"/>
      <c r="H83" s="25"/>
      <c r="I83" s="25"/>
      <c r="J83" s="25"/>
      <c r="K83" s="25"/>
      <c r="L83" s="25"/>
      <c r="M83" s="25"/>
      <c r="N83" s="25"/>
      <c r="O83" s="25"/>
      <c r="P83" s="25"/>
      <c r="Q83" s="25"/>
      <c r="R83" s="25"/>
      <c r="S83" s="25"/>
    </row>
    <row r="84" spans="2:19" x14ac:dyDescent="0.3">
      <c r="B84" s="25"/>
      <c r="C84" s="25"/>
      <c r="D84" s="25"/>
      <c r="E84" s="25"/>
      <c r="F84" s="25"/>
      <c r="G84" s="25"/>
      <c r="H84" s="25"/>
      <c r="I84" s="25"/>
      <c r="J84" s="25"/>
      <c r="K84" s="25"/>
      <c r="L84" s="25"/>
      <c r="M84" s="25"/>
      <c r="N84" s="25"/>
      <c r="O84" s="25"/>
      <c r="P84" s="25"/>
      <c r="Q84" s="25"/>
      <c r="R84" s="25"/>
      <c r="S84" s="25"/>
    </row>
    <row r="85" spans="2:19" x14ac:dyDescent="0.3">
      <c r="B85" s="25"/>
      <c r="C85" s="25"/>
      <c r="D85" s="25"/>
      <c r="E85" s="25"/>
      <c r="F85" s="25"/>
      <c r="G85" s="25"/>
      <c r="H85" s="25"/>
      <c r="I85" s="25"/>
      <c r="J85" s="25"/>
      <c r="K85" s="25"/>
      <c r="L85" s="25"/>
      <c r="M85" s="25"/>
      <c r="N85" s="25"/>
      <c r="O85" s="25"/>
      <c r="P85" s="25"/>
      <c r="Q85" s="25"/>
      <c r="R85" s="25"/>
      <c r="S85" s="25"/>
    </row>
    <row r="86" spans="2:19" x14ac:dyDescent="0.3">
      <c r="B86" s="25"/>
      <c r="C86" s="25"/>
      <c r="D86" s="25"/>
      <c r="E86" s="25"/>
      <c r="F86" s="25"/>
      <c r="G86" s="25"/>
      <c r="H86" s="25"/>
      <c r="I86" s="25"/>
      <c r="J86" s="25"/>
      <c r="K86" s="25"/>
      <c r="L86" s="25"/>
      <c r="M86" s="25"/>
      <c r="N86" s="25"/>
      <c r="O86" s="25"/>
      <c r="P86" s="25"/>
      <c r="Q86" s="25"/>
      <c r="R86" s="25"/>
      <c r="S86" s="25"/>
    </row>
    <row r="87" spans="2:19" x14ac:dyDescent="0.3">
      <c r="B87" s="25"/>
      <c r="C87" s="25"/>
      <c r="D87" s="25"/>
      <c r="E87" s="25"/>
      <c r="F87" s="25"/>
      <c r="G87" s="25"/>
      <c r="H87" s="25"/>
      <c r="I87" s="25"/>
      <c r="J87" s="25"/>
      <c r="K87" s="25"/>
      <c r="L87" s="25"/>
      <c r="M87" s="25"/>
      <c r="N87" s="25"/>
      <c r="O87" s="25"/>
      <c r="P87" s="25"/>
      <c r="Q87" s="25"/>
      <c r="R87" s="25"/>
      <c r="S87" s="25"/>
    </row>
    <row r="88" spans="2:19" x14ac:dyDescent="0.3">
      <c r="B88" s="25"/>
      <c r="C88" s="25"/>
      <c r="D88" s="25"/>
      <c r="E88" s="25"/>
      <c r="F88" s="25"/>
      <c r="G88" s="25"/>
      <c r="H88" s="25"/>
      <c r="I88" s="25"/>
      <c r="J88" s="25"/>
      <c r="K88" s="25"/>
      <c r="L88" s="25"/>
      <c r="M88" s="25"/>
      <c r="N88" s="25"/>
      <c r="O88" s="25"/>
      <c r="P88" s="25"/>
      <c r="Q88" s="25"/>
      <c r="R88" s="25"/>
      <c r="S88" s="25"/>
    </row>
    <row r="89" spans="2:19" x14ac:dyDescent="0.3">
      <c r="B89" s="25"/>
      <c r="C89" s="25"/>
      <c r="D89" s="25"/>
      <c r="E89" s="25"/>
      <c r="F89" s="25"/>
      <c r="G89" s="25"/>
      <c r="H89" s="25"/>
      <c r="I89" s="25"/>
      <c r="J89" s="25"/>
      <c r="K89" s="25"/>
      <c r="L89" s="25"/>
      <c r="M89" s="25"/>
      <c r="N89" s="25"/>
      <c r="O89" s="25"/>
      <c r="P89" s="25"/>
      <c r="Q89" s="25"/>
      <c r="R89" s="25"/>
      <c r="S89" s="25"/>
    </row>
    <row r="90" spans="2:19" x14ac:dyDescent="0.3">
      <c r="B90" s="25"/>
      <c r="C90" s="25"/>
      <c r="D90" s="25"/>
      <c r="E90" s="25"/>
      <c r="F90" s="25"/>
      <c r="G90" s="25"/>
      <c r="H90" s="25"/>
      <c r="I90" s="25"/>
      <c r="J90" s="25"/>
      <c r="K90" s="25"/>
      <c r="L90" s="25"/>
      <c r="M90" s="25"/>
      <c r="N90" s="25"/>
      <c r="O90" s="25"/>
      <c r="P90" s="25"/>
      <c r="Q90" s="25"/>
      <c r="R90" s="25"/>
      <c r="S90" s="25"/>
    </row>
    <row r="91" spans="2:19" x14ac:dyDescent="0.3">
      <c r="B91" s="25"/>
      <c r="C91" s="25"/>
      <c r="D91" s="25"/>
      <c r="E91" s="25"/>
      <c r="F91" s="25"/>
      <c r="G91" s="25"/>
      <c r="H91" s="25"/>
      <c r="I91" s="25"/>
      <c r="J91" s="25"/>
      <c r="K91" s="25"/>
      <c r="L91" s="25"/>
      <c r="M91" s="25"/>
      <c r="N91" s="25"/>
      <c r="O91" s="25"/>
      <c r="P91" s="25"/>
      <c r="Q91" s="25"/>
      <c r="R91" s="25"/>
      <c r="S91" s="25"/>
    </row>
    <row r="92" spans="2:19" x14ac:dyDescent="0.3">
      <c r="B92" s="25"/>
      <c r="C92" s="25"/>
      <c r="D92" s="25"/>
      <c r="E92" s="25"/>
      <c r="F92" s="25"/>
      <c r="G92" s="25"/>
      <c r="H92" s="25"/>
      <c r="I92" s="25"/>
      <c r="J92" s="25"/>
      <c r="K92" s="25"/>
      <c r="L92" s="25"/>
      <c r="M92" s="25"/>
      <c r="N92" s="25"/>
      <c r="O92" s="25"/>
      <c r="P92" s="25"/>
      <c r="Q92" s="25"/>
      <c r="R92" s="25"/>
      <c r="S92" s="25"/>
    </row>
    <row r="93" spans="2:19" x14ac:dyDescent="0.3">
      <c r="B93" s="25"/>
      <c r="C93" s="25"/>
      <c r="D93" s="25"/>
      <c r="E93" s="25"/>
      <c r="F93" s="25"/>
      <c r="G93" s="25"/>
      <c r="H93" s="25"/>
      <c r="I93" s="25"/>
      <c r="J93" s="25"/>
      <c r="K93" s="25"/>
      <c r="L93" s="25"/>
      <c r="M93" s="25"/>
      <c r="N93" s="25"/>
      <c r="O93" s="25"/>
      <c r="P93" s="25"/>
      <c r="Q93" s="25"/>
      <c r="R93" s="25"/>
      <c r="S93" s="25"/>
    </row>
    <row r="94" spans="2:19" x14ac:dyDescent="0.3">
      <c r="B94" s="25"/>
      <c r="C94" s="25"/>
      <c r="D94" s="25"/>
      <c r="E94" s="25"/>
      <c r="F94" s="25"/>
      <c r="G94" s="25"/>
      <c r="H94" s="25"/>
      <c r="I94" s="25"/>
      <c r="J94" s="25"/>
      <c r="K94" s="25"/>
      <c r="L94" s="25"/>
      <c r="M94" s="25"/>
      <c r="N94" s="25"/>
      <c r="O94" s="25"/>
      <c r="P94" s="25"/>
      <c r="Q94" s="25"/>
      <c r="R94" s="25"/>
      <c r="S94" s="25"/>
    </row>
    <row r="95" spans="2:19" x14ac:dyDescent="0.3">
      <c r="B95" s="25"/>
      <c r="C95" s="25"/>
      <c r="D95" s="25"/>
      <c r="E95" s="25"/>
      <c r="F95" s="25"/>
      <c r="G95" s="25"/>
      <c r="H95" s="25"/>
      <c r="I95" s="25"/>
      <c r="J95" s="25"/>
      <c r="K95" s="25"/>
      <c r="L95" s="25"/>
      <c r="M95" s="25"/>
      <c r="N95" s="25"/>
      <c r="O95" s="25"/>
      <c r="P95" s="25"/>
      <c r="Q95" s="25"/>
      <c r="R95" s="25"/>
      <c r="S95" s="25"/>
    </row>
    <row r="96" spans="2:19" x14ac:dyDescent="0.3">
      <c r="B96" s="25"/>
      <c r="C96" s="25"/>
      <c r="D96" s="25"/>
      <c r="E96" s="25"/>
      <c r="F96" s="25"/>
      <c r="G96" s="25"/>
      <c r="H96" s="25"/>
      <c r="I96" s="25"/>
      <c r="J96" s="25"/>
      <c r="K96" s="25"/>
      <c r="L96" s="25"/>
      <c r="M96" s="25"/>
      <c r="N96" s="25"/>
      <c r="O96" s="25"/>
      <c r="P96" s="25"/>
      <c r="Q96" s="25"/>
      <c r="R96" s="25"/>
      <c r="S96" s="25"/>
    </row>
    <row r="97" spans="2:19" x14ac:dyDescent="0.3">
      <c r="B97" s="25"/>
      <c r="C97" s="25"/>
      <c r="D97" s="25"/>
      <c r="E97" s="25"/>
      <c r="F97" s="25"/>
      <c r="G97" s="25"/>
      <c r="H97" s="25"/>
      <c r="I97" s="25"/>
      <c r="J97" s="25"/>
      <c r="K97" s="25"/>
      <c r="L97" s="25"/>
      <c r="M97" s="25"/>
      <c r="N97" s="25"/>
      <c r="O97" s="25"/>
      <c r="P97" s="25"/>
      <c r="Q97" s="25"/>
      <c r="R97" s="25"/>
      <c r="S97" s="25"/>
    </row>
    <row r="98" spans="2:19" x14ac:dyDescent="0.3">
      <c r="B98" s="25"/>
      <c r="C98" s="25"/>
      <c r="D98" s="25"/>
      <c r="E98" s="25"/>
      <c r="F98" s="25"/>
      <c r="G98" s="25"/>
      <c r="H98" s="25"/>
      <c r="I98" s="25"/>
      <c r="J98" s="25"/>
      <c r="K98" s="25"/>
      <c r="L98" s="25"/>
      <c r="M98" s="25"/>
      <c r="N98" s="25"/>
      <c r="O98" s="25"/>
      <c r="P98" s="25"/>
      <c r="Q98" s="25"/>
      <c r="R98" s="25"/>
      <c r="S98" s="25"/>
    </row>
    <row r="99" spans="2:19" x14ac:dyDescent="0.3">
      <c r="B99" s="25"/>
      <c r="C99" s="25"/>
      <c r="D99" s="25"/>
      <c r="E99" s="25"/>
      <c r="F99" s="25"/>
      <c r="G99" s="25"/>
      <c r="H99" s="25"/>
      <c r="I99" s="25"/>
      <c r="J99" s="25"/>
      <c r="K99" s="25"/>
      <c r="L99" s="25"/>
      <c r="M99" s="25"/>
      <c r="N99" s="25"/>
      <c r="O99" s="25"/>
      <c r="P99" s="25"/>
      <c r="Q99" s="25"/>
      <c r="R99" s="25"/>
      <c r="S99" s="25"/>
    </row>
    <row r="100" spans="2:19" x14ac:dyDescent="0.3">
      <c r="B100" s="25"/>
      <c r="C100" s="25"/>
      <c r="D100" s="25"/>
      <c r="E100" s="25"/>
      <c r="F100" s="25"/>
      <c r="G100" s="25"/>
      <c r="H100" s="25"/>
      <c r="I100" s="25"/>
      <c r="J100" s="25"/>
      <c r="K100" s="25"/>
      <c r="L100" s="25"/>
      <c r="M100" s="25"/>
      <c r="N100" s="25"/>
      <c r="O100" s="25"/>
      <c r="P100" s="25"/>
      <c r="Q100" s="25"/>
      <c r="R100" s="25"/>
      <c r="S100" s="25"/>
    </row>
    <row r="101" spans="2:19" x14ac:dyDescent="0.3">
      <c r="B101" s="25"/>
      <c r="C101" s="25"/>
      <c r="D101" s="25"/>
      <c r="E101" s="25"/>
      <c r="F101" s="25"/>
      <c r="G101" s="25"/>
      <c r="H101" s="25"/>
      <c r="I101" s="25"/>
      <c r="J101" s="25"/>
      <c r="K101" s="25"/>
      <c r="L101" s="25"/>
      <c r="M101" s="25"/>
      <c r="N101" s="25"/>
      <c r="O101" s="25"/>
      <c r="P101" s="25"/>
      <c r="Q101" s="25"/>
      <c r="R101" s="25"/>
      <c r="S101" s="25"/>
    </row>
    <row r="102" spans="2:19" x14ac:dyDescent="0.3">
      <c r="B102" s="25"/>
      <c r="C102" s="25"/>
      <c r="D102" s="25"/>
      <c r="E102" s="25"/>
      <c r="F102" s="25"/>
      <c r="G102" s="25"/>
      <c r="H102" s="25"/>
      <c r="I102" s="25"/>
      <c r="J102" s="25"/>
      <c r="K102" s="25"/>
      <c r="L102" s="25"/>
      <c r="M102" s="25"/>
      <c r="N102" s="25"/>
      <c r="O102" s="25"/>
      <c r="P102" s="25"/>
      <c r="Q102" s="25"/>
      <c r="R102" s="25"/>
      <c r="S102" s="25"/>
    </row>
    <row r="103" spans="2:19" x14ac:dyDescent="0.3">
      <c r="B103" s="25"/>
      <c r="C103" s="25"/>
      <c r="D103" s="25"/>
      <c r="E103" s="25"/>
      <c r="F103" s="25"/>
      <c r="G103" s="25"/>
      <c r="H103" s="25"/>
      <c r="I103" s="25"/>
      <c r="J103" s="25"/>
      <c r="K103" s="25"/>
      <c r="L103" s="25"/>
      <c r="M103" s="25"/>
      <c r="N103" s="25"/>
      <c r="O103" s="25"/>
      <c r="P103" s="25"/>
      <c r="Q103" s="25"/>
      <c r="R103" s="25"/>
      <c r="S103" s="25"/>
    </row>
    <row r="104" spans="2:19" x14ac:dyDescent="0.3">
      <c r="B104" s="25"/>
      <c r="C104" s="25"/>
      <c r="D104" s="25"/>
      <c r="E104" s="25"/>
      <c r="F104" s="25"/>
      <c r="G104" s="25"/>
      <c r="H104" s="25"/>
      <c r="I104" s="25"/>
      <c r="J104" s="25"/>
      <c r="K104" s="25"/>
      <c r="L104" s="25"/>
      <c r="M104" s="25"/>
      <c r="N104" s="25"/>
      <c r="O104" s="25"/>
      <c r="P104" s="25"/>
      <c r="Q104" s="25"/>
      <c r="R104" s="25"/>
      <c r="S104" s="25"/>
    </row>
    <row r="105" spans="2:19" x14ac:dyDescent="0.3">
      <c r="B105" s="25"/>
      <c r="C105" s="25"/>
      <c r="D105" s="25"/>
      <c r="E105" s="25"/>
      <c r="F105" s="25"/>
      <c r="G105" s="25"/>
      <c r="H105" s="25"/>
      <c r="I105" s="25"/>
      <c r="J105" s="25"/>
      <c r="K105" s="25"/>
      <c r="L105" s="25"/>
      <c r="M105" s="25"/>
      <c r="N105" s="25"/>
      <c r="O105" s="25"/>
      <c r="P105" s="25"/>
      <c r="Q105" s="25"/>
      <c r="R105" s="25"/>
      <c r="S105" s="25"/>
    </row>
    <row r="106" spans="2:19" x14ac:dyDescent="0.3">
      <c r="B106" s="25"/>
      <c r="C106" s="25"/>
      <c r="D106" s="25"/>
      <c r="E106" s="25"/>
      <c r="F106" s="25"/>
      <c r="G106" s="25"/>
      <c r="H106" s="25"/>
      <c r="I106" s="25"/>
      <c r="J106" s="25"/>
      <c r="K106" s="25"/>
      <c r="L106" s="25"/>
      <c r="M106" s="25"/>
      <c r="N106" s="25"/>
      <c r="O106" s="25"/>
      <c r="P106" s="25"/>
      <c r="Q106" s="25"/>
      <c r="R106" s="25"/>
      <c r="S106" s="25"/>
    </row>
    <row r="107" spans="2:19" x14ac:dyDescent="0.3">
      <c r="B107" s="25"/>
      <c r="C107" s="25"/>
      <c r="D107" s="25"/>
      <c r="E107" s="25"/>
      <c r="F107" s="25"/>
      <c r="G107" s="25"/>
      <c r="H107" s="25"/>
      <c r="I107" s="25"/>
      <c r="J107" s="25"/>
      <c r="K107" s="25"/>
      <c r="L107" s="25"/>
      <c r="M107" s="25"/>
      <c r="N107" s="25"/>
      <c r="O107" s="25"/>
      <c r="P107" s="25"/>
      <c r="Q107" s="25"/>
      <c r="R107" s="25"/>
      <c r="S107" s="25"/>
    </row>
    <row r="108" spans="2:19" x14ac:dyDescent="0.3">
      <c r="B108" s="25"/>
      <c r="C108" s="25"/>
      <c r="D108" s="25"/>
      <c r="E108" s="25"/>
      <c r="F108" s="25"/>
      <c r="G108" s="25"/>
      <c r="H108" s="25"/>
      <c r="I108" s="25"/>
      <c r="J108" s="25"/>
      <c r="K108" s="25"/>
      <c r="L108" s="25"/>
      <c r="M108" s="25"/>
      <c r="N108" s="25"/>
      <c r="O108" s="25"/>
      <c r="P108" s="25"/>
      <c r="Q108" s="25"/>
      <c r="R108" s="25"/>
      <c r="S108" s="25"/>
    </row>
    <row r="109" spans="2:19" x14ac:dyDescent="0.3">
      <c r="B109" s="25"/>
      <c r="C109" s="25"/>
      <c r="D109" s="25"/>
      <c r="E109" s="25"/>
      <c r="F109" s="25"/>
      <c r="G109" s="25"/>
      <c r="H109" s="25"/>
      <c r="I109" s="25"/>
      <c r="J109" s="25"/>
      <c r="K109" s="25"/>
      <c r="L109" s="25"/>
      <c r="M109" s="25"/>
      <c r="N109" s="25"/>
      <c r="O109" s="25"/>
      <c r="P109" s="25"/>
      <c r="Q109" s="25"/>
      <c r="R109" s="25"/>
      <c r="S109" s="25"/>
    </row>
    <row r="110" spans="2:19" x14ac:dyDescent="0.3">
      <c r="B110" s="25"/>
      <c r="C110" s="25"/>
      <c r="D110" s="25"/>
      <c r="E110" s="25"/>
      <c r="F110" s="25"/>
      <c r="G110" s="25"/>
      <c r="H110" s="25"/>
      <c r="I110" s="25"/>
      <c r="J110" s="25"/>
      <c r="K110" s="25"/>
      <c r="L110" s="25"/>
      <c r="M110" s="25"/>
      <c r="N110" s="25"/>
      <c r="O110" s="25"/>
      <c r="P110" s="25"/>
      <c r="Q110" s="25"/>
      <c r="R110" s="25"/>
      <c r="S110" s="25"/>
    </row>
    <row r="111" spans="2:19" x14ac:dyDescent="0.3">
      <c r="B111" s="25"/>
      <c r="C111" s="25"/>
      <c r="D111" s="25"/>
      <c r="E111" s="25"/>
      <c r="F111" s="25"/>
      <c r="G111" s="25"/>
      <c r="H111" s="25"/>
      <c r="I111" s="25"/>
      <c r="J111" s="25"/>
      <c r="K111" s="25"/>
      <c r="L111" s="25"/>
      <c r="M111" s="25"/>
      <c r="N111" s="25"/>
      <c r="O111" s="25"/>
      <c r="P111" s="25"/>
      <c r="Q111" s="25"/>
      <c r="R111" s="25"/>
      <c r="S111" s="25"/>
    </row>
    <row r="112" spans="2:19" x14ac:dyDescent="0.3">
      <c r="B112" s="25"/>
      <c r="C112" s="25"/>
      <c r="D112" s="25"/>
      <c r="E112" s="25"/>
      <c r="F112" s="25"/>
      <c r="G112" s="25"/>
      <c r="H112" s="25"/>
      <c r="I112" s="25"/>
      <c r="J112" s="25"/>
      <c r="K112" s="25"/>
      <c r="L112" s="25"/>
      <c r="M112" s="25"/>
      <c r="N112" s="25"/>
      <c r="O112" s="25"/>
      <c r="P112" s="25"/>
      <c r="Q112" s="25"/>
      <c r="R112" s="25"/>
      <c r="S112" s="25"/>
    </row>
    <row r="113" spans="2:19" x14ac:dyDescent="0.3">
      <c r="B113" s="25"/>
      <c r="C113" s="25"/>
      <c r="D113" s="25"/>
      <c r="E113" s="25"/>
      <c r="F113" s="25"/>
      <c r="G113" s="25"/>
      <c r="H113" s="25"/>
      <c r="I113" s="25"/>
      <c r="J113" s="25"/>
      <c r="K113" s="25"/>
      <c r="L113" s="25"/>
      <c r="M113" s="25"/>
      <c r="N113" s="25"/>
      <c r="O113" s="25"/>
      <c r="P113" s="25"/>
      <c r="Q113" s="25"/>
      <c r="R113" s="25"/>
      <c r="S113" s="25"/>
    </row>
    <row r="114" spans="2:19" x14ac:dyDescent="0.3">
      <c r="B114" s="25"/>
      <c r="C114" s="25"/>
      <c r="D114" s="25"/>
      <c r="E114" s="25"/>
      <c r="F114" s="25"/>
      <c r="G114" s="25"/>
      <c r="H114" s="25"/>
      <c r="I114" s="25"/>
      <c r="J114" s="25"/>
      <c r="K114" s="25"/>
      <c r="L114" s="25"/>
      <c r="M114" s="25"/>
      <c r="N114" s="25"/>
      <c r="O114" s="25"/>
      <c r="P114" s="25"/>
      <c r="Q114" s="25"/>
      <c r="R114" s="25"/>
      <c r="S114" s="25"/>
    </row>
    <row r="115" spans="2:19" x14ac:dyDescent="0.3">
      <c r="B115" s="25"/>
      <c r="C115" s="25"/>
      <c r="D115" s="25"/>
      <c r="E115" s="25"/>
      <c r="F115" s="25"/>
      <c r="G115" s="25"/>
      <c r="H115" s="25"/>
      <c r="I115" s="25"/>
      <c r="J115" s="25"/>
      <c r="K115" s="25"/>
      <c r="L115" s="25"/>
      <c r="M115" s="25"/>
      <c r="N115" s="25"/>
      <c r="O115" s="25"/>
      <c r="P115" s="25"/>
      <c r="Q115" s="25"/>
      <c r="R115" s="25"/>
      <c r="S115" s="25"/>
    </row>
    <row r="116" spans="2:19" x14ac:dyDescent="0.3">
      <c r="B116" s="25"/>
      <c r="C116" s="25"/>
      <c r="D116" s="25"/>
      <c r="E116" s="25"/>
      <c r="F116" s="25"/>
      <c r="G116" s="25"/>
      <c r="H116" s="25"/>
      <c r="I116" s="25"/>
      <c r="J116" s="25"/>
      <c r="K116" s="25"/>
      <c r="L116" s="25"/>
      <c r="M116" s="25"/>
      <c r="N116" s="25"/>
      <c r="O116" s="25"/>
      <c r="P116" s="25"/>
      <c r="Q116" s="25"/>
      <c r="R116" s="25"/>
      <c r="S116" s="25"/>
    </row>
    <row r="117" spans="2:19" x14ac:dyDescent="0.3">
      <c r="B117" s="25"/>
      <c r="C117" s="25"/>
      <c r="D117" s="25"/>
      <c r="E117" s="25"/>
      <c r="F117" s="25"/>
      <c r="G117" s="25"/>
      <c r="H117" s="25"/>
      <c r="I117" s="25"/>
      <c r="J117" s="25"/>
      <c r="K117" s="25"/>
      <c r="L117" s="25"/>
      <c r="M117" s="25"/>
      <c r="N117" s="25"/>
      <c r="O117" s="25"/>
      <c r="P117" s="25"/>
      <c r="Q117" s="25"/>
      <c r="R117" s="25"/>
      <c r="S117" s="25"/>
    </row>
    <row r="118" spans="2:19" x14ac:dyDescent="0.3">
      <c r="B118" s="25"/>
      <c r="C118" s="25"/>
      <c r="D118" s="25"/>
      <c r="E118" s="25"/>
      <c r="F118" s="25"/>
      <c r="G118" s="25"/>
      <c r="H118" s="25"/>
      <c r="I118" s="25"/>
      <c r="J118" s="25"/>
      <c r="K118" s="25"/>
      <c r="L118" s="25"/>
      <c r="M118" s="25"/>
      <c r="N118" s="25"/>
      <c r="O118" s="25"/>
      <c r="P118" s="25"/>
      <c r="Q118" s="25"/>
      <c r="R118" s="25"/>
      <c r="S118" s="25"/>
    </row>
    <row r="119" spans="2:19" x14ac:dyDescent="0.3">
      <c r="B119" s="25"/>
      <c r="C119" s="25"/>
      <c r="D119" s="25"/>
      <c r="E119" s="25"/>
      <c r="F119" s="25"/>
      <c r="G119" s="25"/>
      <c r="H119" s="25"/>
      <c r="I119" s="25"/>
      <c r="J119" s="25"/>
      <c r="K119" s="25"/>
      <c r="L119" s="25"/>
      <c r="M119" s="25"/>
      <c r="N119" s="25"/>
      <c r="O119" s="25"/>
      <c r="P119" s="25"/>
      <c r="Q119" s="25"/>
      <c r="R119" s="25"/>
      <c r="S119" s="25"/>
    </row>
    <row r="120" spans="2:19" x14ac:dyDescent="0.3">
      <c r="B120" s="25"/>
      <c r="C120" s="25"/>
      <c r="D120" s="25"/>
      <c r="E120" s="25"/>
      <c r="F120" s="25"/>
      <c r="G120" s="25"/>
      <c r="H120" s="25"/>
      <c r="I120" s="25"/>
      <c r="J120" s="25"/>
      <c r="K120" s="25"/>
      <c r="L120" s="25"/>
      <c r="M120" s="25"/>
      <c r="N120" s="25"/>
      <c r="O120" s="25"/>
      <c r="P120" s="25"/>
      <c r="Q120" s="25"/>
      <c r="R120" s="25"/>
      <c r="S120" s="25"/>
    </row>
    <row r="121" spans="2:19" x14ac:dyDescent="0.3">
      <c r="B121" s="25"/>
      <c r="C121" s="25"/>
      <c r="D121" s="25"/>
      <c r="E121" s="25"/>
      <c r="F121" s="25"/>
      <c r="G121" s="25"/>
      <c r="H121" s="25"/>
      <c r="I121" s="25"/>
      <c r="J121" s="25"/>
      <c r="K121" s="25"/>
      <c r="L121" s="25"/>
      <c r="M121" s="25"/>
      <c r="N121" s="25"/>
      <c r="O121" s="25"/>
      <c r="P121" s="25"/>
      <c r="Q121" s="25"/>
      <c r="R121" s="25"/>
      <c r="S121" s="25"/>
    </row>
    <row r="122" spans="2:19" x14ac:dyDescent="0.3">
      <c r="B122" s="25"/>
      <c r="C122" s="25"/>
      <c r="D122" s="25"/>
      <c r="E122" s="25"/>
      <c r="F122" s="25"/>
      <c r="G122" s="25"/>
      <c r="H122" s="25"/>
      <c r="I122" s="25"/>
      <c r="J122" s="25"/>
      <c r="K122" s="25"/>
      <c r="L122" s="25"/>
      <c r="M122" s="25"/>
      <c r="N122" s="25"/>
      <c r="O122" s="25"/>
      <c r="P122" s="25"/>
      <c r="Q122" s="25"/>
      <c r="R122" s="25"/>
      <c r="S122" s="25"/>
    </row>
    <row r="123" spans="2:19" x14ac:dyDescent="0.3">
      <c r="B123" s="25"/>
      <c r="C123" s="25"/>
      <c r="D123" s="25"/>
      <c r="E123" s="25"/>
      <c r="F123" s="25"/>
      <c r="G123" s="25"/>
      <c r="H123" s="25"/>
      <c r="I123" s="25"/>
      <c r="J123" s="25"/>
      <c r="K123" s="25"/>
      <c r="L123" s="25"/>
      <c r="M123" s="25"/>
      <c r="N123" s="25"/>
      <c r="O123" s="25"/>
      <c r="P123" s="25"/>
      <c r="Q123" s="25"/>
      <c r="R123" s="25"/>
      <c r="S123" s="25"/>
    </row>
    <row r="124" spans="2:19" x14ac:dyDescent="0.3">
      <c r="B124" s="25"/>
      <c r="C124" s="25"/>
      <c r="D124" s="25"/>
      <c r="E124" s="25"/>
      <c r="F124" s="25"/>
      <c r="G124" s="25"/>
      <c r="H124" s="25"/>
      <c r="I124" s="25"/>
      <c r="J124" s="25"/>
      <c r="K124" s="25"/>
      <c r="L124" s="25"/>
      <c r="M124" s="25"/>
      <c r="N124" s="25"/>
      <c r="O124" s="25"/>
      <c r="P124" s="25"/>
      <c r="Q124" s="25"/>
      <c r="R124" s="25"/>
      <c r="S124" s="25"/>
    </row>
    <row r="125" spans="2:19" x14ac:dyDescent="0.3">
      <c r="B125" s="25"/>
      <c r="C125" s="25"/>
      <c r="D125" s="25"/>
      <c r="E125" s="25"/>
      <c r="F125" s="25"/>
      <c r="G125" s="25"/>
      <c r="H125" s="25"/>
      <c r="I125" s="25"/>
      <c r="J125" s="25"/>
      <c r="K125" s="25"/>
      <c r="L125" s="25"/>
      <c r="M125" s="25"/>
      <c r="N125" s="25"/>
      <c r="O125" s="25"/>
      <c r="P125" s="25"/>
      <c r="Q125" s="25"/>
      <c r="R125" s="25"/>
      <c r="S125" s="25"/>
    </row>
    <row r="126" spans="2:19" x14ac:dyDescent="0.3">
      <c r="B126" s="25"/>
      <c r="C126" s="25"/>
      <c r="D126" s="25"/>
      <c r="E126" s="25"/>
      <c r="F126" s="25"/>
      <c r="G126" s="25"/>
      <c r="H126" s="25"/>
      <c r="I126" s="25"/>
      <c r="J126" s="25"/>
      <c r="K126" s="25"/>
      <c r="L126" s="25"/>
      <c r="M126" s="25"/>
      <c r="N126" s="25"/>
      <c r="O126" s="25"/>
      <c r="P126" s="25"/>
      <c r="Q126" s="25"/>
      <c r="R126" s="25"/>
      <c r="S126" s="25"/>
    </row>
    <row r="127" spans="2:19" x14ac:dyDescent="0.3">
      <c r="B127" s="25"/>
      <c r="C127" s="25"/>
      <c r="D127" s="25"/>
      <c r="E127" s="25"/>
      <c r="F127" s="25"/>
      <c r="G127" s="25"/>
      <c r="H127" s="25"/>
      <c r="I127" s="25"/>
      <c r="J127" s="25"/>
      <c r="K127" s="25"/>
      <c r="L127" s="25"/>
      <c r="M127" s="25"/>
      <c r="N127" s="25"/>
      <c r="O127" s="25"/>
      <c r="P127" s="25"/>
      <c r="Q127" s="25"/>
      <c r="R127" s="25"/>
      <c r="S127" s="25"/>
    </row>
    <row r="128" spans="2:19" x14ac:dyDescent="0.3">
      <c r="B128" s="25"/>
      <c r="C128" s="25"/>
      <c r="D128" s="25"/>
      <c r="E128" s="25"/>
      <c r="F128" s="25"/>
      <c r="G128" s="25"/>
      <c r="H128" s="25"/>
      <c r="I128" s="25"/>
      <c r="J128" s="25"/>
      <c r="K128" s="25"/>
      <c r="L128" s="25"/>
      <c r="M128" s="25"/>
      <c r="N128" s="25"/>
      <c r="O128" s="25"/>
      <c r="P128" s="25"/>
      <c r="Q128" s="25"/>
      <c r="R128" s="25"/>
      <c r="S128" s="25"/>
    </row>
    <row r="129" spans="2:19" x14ac:dyDescent="0.3">
      <c r="B129" s="25"/>
      <c r="C129" s="25"/>
      <c r="D129" s="25"/>
      <c r="E129" s="25"/>
      <c r="F129" s="25"/>
      <c r="G129" s="25"/>
      <c r="H129" s="25"/>
      <c r="I129" s="25"/>
      <c r="J129" s="25"/>
      <c r="K129" s="25"/>
      <c r="L129" s="25"/>
      <c r="M129" s="25"/>
      <c r="N129" s="25"/>
      <c r="O129" s="25"/>
      <c r="P129" s="25"/>
      <c r="Q129" s="25"/>
      <c r="R129" s="25"/>
      <c r="S129" s="25"/>
    </row>
    <row r="130" spans="2:19" x14ac:dyDescent="0.3">
      <c r="B130" s="25"/>
      <c r="C130" s="25"/>
      <c r="D130" s="25"/>
      <c r="E130" s="25"/>
      <c r="F130" s="25"/>
      <c r="G130" s="25"/>
      <c r="H130" s="25"/>
      <c r="I130" s="25"/>
      <c r="J130" s="25"/>
      <c r="K130" s="25"/>
      <c r="L130" s="25"/>
      <c r="M130" s="25"/>
      <c r="N130" s="25"/>
      <c r="O130" s="25"/>
      <c r="P130" s="25"/>
      <c r="Q130" s="25"/>
      <c r="R130" s="25"/>
      <c r="S130" s="25"/>
    </row>
    <row r="131" spans="2:19" x14ac:dyDescent="0.3">
      <c r="B131" s="25"/>
      <c r="C131" s="25"/>
      <c r="D131" s="25"/>
      <c r="E131" s="25"/>
      <c r="F131" s="25"/>
      <c r="G131" s="25"/>
      <c r="H131" s="25"/>
      <c r="I131" s="25"/>
      <c r="J131" s="25"/>
      <c r="K131" s="25"/>
      <c r="L131" s="25"/>
      <c r="M131" s="25"/>
      <c r="N131" s="25"/>
      <c r="O131" s="25"/>
      <c r="P131" s="25"/>
      <c r="Q131" s="25"/>
      <c r="R131" s="25"/>
      <c r="S131" s="25"/>
    </row>
    <row r="132" spans="2:19" x14ac:dyDescent="0.3">
      <c r="B132" s="25"/>
      <c r="C132" s="25"/>
      <c r="D132" s="25"/>
      <c r="E132" s="25"/>
      <c r="F132" s="25"/>
      <c r="G132" s="25"/>
      <c r="H132" s="25"/>
      <c r="I132" s="25"/>
      <c r="J132" s="25"/>
      <c r="K132" s="25"/>
      <c r="L132" s="25"/>
      <c r="M132" s="25"/>
      <c r="N132" s="25"/>
      <c r="O132" s="25"/>
      <c r="P132" s="25"/>
      <c r="Q132" s="25"/>
      <c r="R132" s="25"/>
      <c r="S132" s="25"/>
    </row>
    <row r="133" spans="2:19" x14ac:dyDescent="0.3">
      <c r="B133" s="25"/>
      <c r="C133" s="25"/>
      <c r="D133" s="25"/>
      <c r="E133" s="25"/>
      <c r="F133" s="25"/>
      <c r="G133" s="25"/>
      <c r="H133" s="25"/>
      <c r="I133" s="25"/>
      <c r="J133" s="25"/>
      <c r="K133" s="25"/>
      <c r="L133" s="25"/>
      <c r="M133" s="25"/>
      <c r="N133" s="25"/>
      <c r="O133" s="25"/>
      <c r="P133" s="25"/>
      <c r="Q133" s="25"/>
      <c r="R133" s="25"/>
      <c r="S133" s="25"/>
    </row>
    <row r="134" spans="2:19" x14ac:dyDescent="0.3">
      <c r="B134" s="25"/>
      <c r="C134" s="25"/>
      <c r="D134" s="25"/>
      <c r="E134" s="25"/>
      <c r="F134" s="25"/>
      <c r="G134" s="25"/>
      <c r="H134" s="25"/>
      <c r="I134" s="25"/>
      <c r="J134" s="25"/>
      <c r="K134" s="25"/>
      <c r="L134" s="25"/>
      <c r="M134" s="25"/>
      <c r="N134" s="25"/>
      <c r="O134" s="25"/>
      <c r="P134" s="25"/>
      <c r="Q134" s="25"/>
      <c r="R134" s="25"/>
      <c r="S134" s="25"/>
    </row>
    <row r="135" spans="2:19" x14ac:dyDescent="0.3">
      <c r="B135" s="25"/>
      <c r="C135" s="25"/>
      <c r="D135" s="25"/>
      <c r="E135" s="25"/>
      <c r="F135" s="25"/>
      <c r="G135" s="25"/>
      <c r="H135" s="25"/>
      <c r="I135" s="25"/>
      <c r="J135" s="25"/>
      <c r="K135" s="25"/>
      <c r="L135" s="25"/>
      <c r="M135" s="25"/>
      <c r="N135" s="25"/>
      <c r="O135" s="25"/>
      <c r="P135" s="25"/>
      <c r="Q135" s="25"/>
      <c r="R135" s="25"/>
      <c r="S135" s="25"/>
    </row>
    <row r="136" spans="2:19" x14ac:dyDescent="0.3">
      <c r="B136" s="25"/>
      <c r="C136" s="25"/>
      <c r="D136" s="25"/>
      <c r="E136" s="25"/>
      <c r="F136" s="25"/>
      <c r="G136" s="25"/>
      <c r="H136" s="25"/>
      <c r="I136" s="25"/>
      <c r="J136" s="25"/>
      <c r="K136" s="25"/>
      <c r="L136" s="25"/>
      <c r="M136" s="25"/>
      <c r="N136" s="25"/>
      <c r="O136" s="25"/>
      <c r="P136" s="25"/>
      <c r="Q136" s="25"/>
      <c r="R136" s="25"/>
      <c r="S136" s="25"/>
    </row>
    <row r="137" spans="2:19" x14ac:dyDescent="0.3">
      <c r="B137" s="25"/>
      <c r="C137" s="25"/>
      <c r="D137" s="25"/>
      <c r="E137" s="25"/>
      <c r="F137" s="25"/>
      <c r="G137" s="25"/>
      <c r="H137" s="25"/>
      <c r="I137" s="25"/>
      <c r="J137" s="25"/>
      <c r="K137" s="25"/>
      <c r="L137" s="25"/>
      <c r="M137" s="25"/>
      <c r="N137" s="25"/>
      <c r="O137" s="25"/>
      <c r="P137" s="25"/>
      <c r="Q137" s="25"/>
      <c r="R137" s="25"/>
      <c r="S137" s="25"/>
    </row>
    <row r="138" spans="2:19" x14ac:dyDescent="0.3">
      <c r="B138" s="25"/>
      <c r="C138" s="25"/>
      <c r="D138" s="25"/>
      <c r="E138" s="25"/>
      <c r="F138" s="25"/>
      <c r="G138" s="25"/>
      <c r="H138" s="25"/>
      <c r="I138" s="25"/>
      <c r="J138" s="25"/>
      <c r="K138" s="25"/>
      <c r="L138" s="25"/>
      <c r="M138" s="25"/>
      <c r="N138" s="25"/>
      <c r="O138" s="25"/>
      <c r="P138" s="25"/>
      <c r="Q138" s="25"/>
      <c r="R138" s="25"/>
      <c r="S138" s="25"/>
    </row>
    <row r="139" spans="2:19" x14ac:dyDescent="0.3">
      <c r="B139" s="25"/>
      <c r="C139" s="25"/>
      <c r="D139" s="25"/>
      <c r="E139" s="25"/>
      <c r="F139" s="25"/>
      <c r="G139" s="25"/>
      <c r="H139" s="25"/>
      <c r="I139" s="25"/>
      <c r="J139" s="25"/>
      <c r="K139" s="25"/>
      <c r="L139" s="25"/>
      <c r="M139" s="25"/>
      <c r="N139" s="25"/>
      <c r="O139" s="25"/>
      <c r="P139" s="25"/>
      <c r="Q139" s="25"/>
      <c r="R139" s="25"/>
      <c r="S139" s="25"/>
    </row>
    <row r="140" spans="2:19" x14ac:dyDescent="0.3">
      <c r="B140" s="25"/>
      <c r="C140" s="25"/>
      <c r="D140" s="25"/>
      <c r="E140" s="25"/>
      <c r="F140" s="25"/>
      <c r="G140" s="25"/>
      <c r="H140" s="25"/>
      <c r="I140" s="25"/>
      <c r="J140" s="25"/>
      <c r="K140" s="25"/>
      <c r="L140" s="25"/>
      <c r="M140" s="25"/>
      <c r="N140" s="25"/>
      <c r="O140" s="25"/>
      <c r="P140" s="25"/>
      <c r="Q140" s="25"/>
      <c r="R140" s="25"/>
      <c r="S140" s="25"/>
    </row>
    <row r="141" spans="2:19" x14ac:dyDescent="0.3">
      <c r="B141" s="25"/>
      <c r="C141" s="25"/>
      <c r="D141" s="25"/>
      <c r="E141" s="25"/>
      <c r="F141" s="25"/>
      <c r="G141" s="25"/>
      <c r="H141" s="25"/>
      <c r="I141" s="25"/>
      <c r="J141" s="25"/>
      <c r="K141" s="25"/>
      <c r="L141" s="25"/>
      <c r="M141" s="25"/>
      <c r="N141" s="25"/>
      <c r="O141" s="25"/>
      <c r="P141" s="25"/>
      <c r="Q141" s="25"/>
      <c r="R141" s="25"/>
      <c r="S141" s="25"/>
    </row>
    <row r="142" spans="2:19" x14ac:dyDescent="0.3">
      <c r="B142" s="25"/>
      <c r="C142" s="25"/>
      <c r="D142" s="25"/>
      <c r="E142" s="25"/>
      <c r="F142" s="25"/>
      <c r="G142" s="25"/>
      <c r="H142" s="25"/>
      <c r="I142" s="25"/>
      <c r="J142" s="25"/>
      <c r="K142" s="25"/>
      <c r="L142" s="25"/>
      <c r="M142" s="25"/>
      <c r="N142" s="25"/>
      <c r="O142" s="25"/>
      <c r="P142" s="25"/>
      <c r="Q142" s="25"/>
      <c r="R142" s="25"/>
      <c r="S142" s="25"/>
    </row>
    <row r="143" spans="2:19" x14ac:dyDescent="0.3">
      <c r="B143" s="25"/>
      <c r="C143" s="25"/>
      <c r="D143" s="25"/>
      <c r="E143" s="25"/>
      <c r="F143" s="25"/>
      <c r="G143" s="25"/>
      <c r="H143" s="25"/>
      <c r="I143" s="25"/>
      <c r="J143" s="25"/>
      <c r="K143" s="25"/>
      <c r="L143" s="25"/>
      <c r="M143" s="25"/>
      <c r="N143" s="25"/>
      <c r="O143" s="25"/>
      <c r="P143" s="25"/>
      <c r="Q143" s="25"/>
      <c r="R143" s="25"/>
      <c r="S143" s="25"/>
    </row>
    <row r="144" spans="2:19" x14ac:dyDescent="0.3">
      <c r="B144" s="25"/>
      <c r="C144" s="25"/>
      <c r="D144" s="25"/>
      <c r="E144" s="25"/>
      <c r="F144" s="25"/>
      <c r="G144" s="25"/>
      <c r="H144" s="25"/>
      <c r="I144" s="25"/>
      <c r="J144" s="25"/>
      <c r="K144" s="25"/>
      <c r="L144" s="25"/>
      <c r="M144" s="25"/>
      <c r="N144" s="25"/>
      <c r="O144" s="25"/>
      <c r="P144" s="25"/>
      <c r="Q144" s="25"/>
      <c r="R144" s="25"/>
      <c r="S144" s="25"/>
    </row>
    <row r="145" spans="2:19" x14ac:dyDescent="0.3">
      <c r="B145" s="25"/>
      <c r="C145" s="25"/>
      <c r="D145" s="25"/>
      <c r="E145" s="25"/>
      <c r="F145" s="25"/>
      <c r="G145" s="25"/>
      <c r="H145" s="25"/>
      <c r="I145" s="25"/>
      <c r="J145" s="25"/>
      <c r="K145" s="25"/>
      <c r="L145" s="25"/>
      <c r="M145" s="25"/>
      <c r="N145" s="25"/>
      <c r="O145" s="25"/>
      <c r="P145" s="25"/>
      <c r="Q145" s="25"/>
      <c r="R145" s="25"/>
      <c r="S145" s="25"/>
    </row>
    <row r="146" spans="2:19" x14ac:dyDescent="0.3">
      <c r="B146" s="25"/>
      <c r="C146" s="25"/>
      <c r="D146" s="25"/>
      <c r="E146" s="25"/>
      <c r="F146" s="25"/>
      <c r="G146" s="25"/>
      <c r="H146" s="25"/>
      <c r="I146" s="25"/>
      <c r="J146" s="25"/>
      <c r="K146" s="25"/>
      <c r="L146" s="25"/>
      <c r="M146" s="25"/>
      <c r="N146" s="25"/>
      <c r="O146" s="25"/>
      <c r="P146" s="25"/>
      <c r="Q146" s="25"/>
      <c r="R146" s="25"/>
      <c r="S146" s="25"/>
    </row>
    <row r="147" spans="2:19" x14ac:dyDescent="0.3">
      <c r="B147" s="25"/>
      <c r="C147" s="25"/>
      <c r="D147" s="25"/>
      <c r="E147" s="25"/>
      <c r="F147" s="25"/>
      <c r="G147" s="25"/>
      <c r="H147" s="25"/>
      <c r="I147" s="25"/>
      <c r="J147" s="25"/>
      <c r="K147" s="25"/>
      <c r="L147" s="25"/>
      <c r="M147" s="25"/>
      <c r="N147" s="25"/>
      <c r="O147" s="25"/>
      <c r="P147" s="25"/>
      <c r="Q147" s="25"/>
      <c r="R147" s="25"/>
      <c r="S147" s="25"/>
    </row>
    <row r="148" spans="2:19" x14ac:dyDescent="0.3">
      <c r="B148" s="25"/>
      <c r="C148" s="25"/>
      <c r="D148" s="25"/>
      <c r="E148" s="25"/>
      <c r="F148" s="25"/>
      <c r="G148" s="25"/>
      <c r="H148" s="25"/>
      <c r="I148" s="25"/>
      <c r="J148" s="25"/>
      <c r="K148" s="25"/>
      <c r="L148" s="25"/>
      <c r="M148" s="25"/>
      <c r="N148" s="25"/>
      <c r="O148" s="25"/>
      <c r="P148" s="25"/>
      <c r="Q148" s="25"/>
      <c r="R148" s="25"/>
      <c r="S148" s="25"/>
    </row>
    <row r="149" spans="2:19" x14ac:dyDescent="0.3">
      <c r="B149" s="25"/>
      <c r="C149" s="25"/>
      <c r="D149" s="25"/>
      <c r="E149" s="25"/>
      <c r="F149" s="25"/>
      <c r="G149" s="25"/>
      <c r="H149" s="25"/>
      <c r="I149" s="25"/>
      <c r="J149" s="25"/>
      <c r="K149" s="25"/>
      <c r="L149" s="25"/>
      <c r="M149" s="25"/>
      <c r="N149" s="25"/>
      <c r="O149" s="25"/>
      <c r="P149" s="25"/>
      <c r="Q149" s="25"/>
      <c r="R149" s="25"/>
      <c r="S149" s="25"/>
    </row>
    <row r="150" spans="2:19" x14ac:dyDescent="0.3">
      <c r="B150" s="25"/>
      <c r="C150" s="25"/>
      <c r="D150" s="25"/>
      <c r="E150" s="25"/>
      <c r="F150" s="25"/>
      <c r="G150" s="25"/>
      <c r="H150" s="25"/>
      <c r="I150" s="25"/>
      <c r="J150" s="25"/>
      <c r="K150" s="25"/>
      <c r="L150" s="25"/>
      <c r="M150" s="25"/>
      <c r="N150" s="25"/>
      <c r="O150" s="25"/>
      <c r="P150" s="25"/>
      <c r="Q150" s="25"/>
      <c r="R150" s="25"/>
      <c r="S150" s="25"/>
    </row>
    <row r="151" spans="2:19" x14ac:dyDescent="0.3">
      <c r="B151" s="25"/>
      <c r="C151" s="25"/>
      <c r="D151" s="25"/>
      <c r="E151" s="25"/>
      <c r="F151" s="25"/>
      <c r="G151" s="25"/>
      <c r="H151" s="25"/>
      <c r="I151" s="25"/>
      <c r="J151" s="25"/>
      <c r="K151" s="25"/>
      <c r="L151" s="25"/>
      <c r="M151" s="25"/>
      <c r="N151" s="25"/>
      <c r="O151" s="25"/>
      <c r="P151" s="25"/>
      <c r="Q151" s="25"/>
      <c r="R151" s="25"/>
      <c r="S151" s="25"/>
    </row>
    <row r="152" spans="2:19" x14ac:dyDescent="0.3">
      <c r="B152" s="25"/>
      <c r="C152" s="25"/>
      <c r="D152" s="25"/>
      <c r="E152" s="25"/>
      <c r="F152" s="25"/>
      <c r="G152" s="25"/>
      <c r="H152" s="25"/>
      <c r="I152" s="25"/>
      <c r="J152" s="25"/>
      <c r="K152" s="25"/>
      <c r="L152" s="25"/>
      <c r="M152" s="25"/>
      <c r="N152" s="25"/>
      <c r="O152" s="25"/>
      <c r="P152" s="25"/>
      <c r="Q152" s="25"/>
      <c r="R152" s="25"/>
      <c r="S152" s="25"/>
    </row>
    <row r="153" spans="2:19" x14ac:dyDescent="0.3">
      <c r="B153" s="25"/>
      <c r="C153" s="25"/>
      <c r="D153" s="25"/>
      <c r="E153" s="25"/>
      <c r="F153" s="25"/>
      <c r="G153" s="25"/>
      <c r="H153" s="25"/>
      <c r="I153" s="25"/>
      <c r="J153" s="25"/>
      <c r="K153" s="25"/>
      <c r="L153" s="25"/>
      <c r="M153" s="25"/>
      <c r="N153" s="25"/>
      <c r="O153" s="25"/>
      <c r="P153" s="25"/>
      <c r="Q153" s="25"/>
      <c r="R153" s="25"/>
      <c r="S153" s="25"/>
    </row>
    <row r="154" spans="2:19" x14ac:dyDescent="0.3">
      <c r="B154" s="25"/>
      <c r="C154" s="25"/>
      <c r="D154" s="25"/>
      <c r="E154" s="25"/>
      <c r="F154" s="25"/>
      <c r="G154" s="25"/>
      <c r="H154" s="25"/>
      <c r="I154" s="25"/>
      <c r="J154" s="25"/>
      <c r="K154" s="25"/>
      <c r="L154" s="25"/>
      <c r="M154" s="25"/>
      <c r="N154" s="25"/>
      <c r="O154" s="25"/>
      <c r="P154" s="25"/>
      <c r="Q154" s="25"/>
      <c r="R154" s="25"/>
      <c r="S154" s="25"/>
    </row>
    <row r="155" spans="2:19" x14ac:dyDescent="0.3">
      <c r="B155" s="25"/>
      <c r="C155" s="25"/>
      <c r="D155" s="25"/>
      <c r="E155" s="25"/>
      <c r="F155" s="25"/>
      <c r="G155" s="25"/>
      <c r="H155" s="25"/>
      <c r="I155" s="25"/>
      <c r="J155" s="25"/>
      <c r="K155" s="25"/>
      <c r="L155" s="25"/>
      <c r="M155" s="25"/>
      <c r="N155" s="25"/>
      <c r="O155" s="25"/>
      <c r="P155" s="25"/>
      <c r="Q155" s="25"/>
      <c r="R155" s="25"/>
      <c r="S155" s="25"/>
    </row>
    <row r="156" spans="2:19" x14ac:dyDescent="0.3">
      <c r="B156" s="25"/>
      <c r="C156" s="25"/>
      <c r="D156" s="25"/>
      <c r="E156" s="25"/>
      <c r="F156" s="25"/>
      <c r="G156" s="25"/>
      <c r="H156" s="25"/>
      <c r="I156" s="25"/>
      <c r="J156" s="25"/>
      <c r="K156" s="25"/>
      <c r="L156" s="25"/>
      <c r="M156" s="25"/>
      <c r="N156" s="25"/>
      <c r="O156" s="25"/>
      <c r="P156" s="25"/>
      <c r="Q156" s="25"/>
      <c r="R156" s="25"/>
      <c r="S156" s="25"/>
    </row>
    <row r="157" spans="2:19" x14ac:dyDescent="0.3">
      <c r="B157" s="25"/>
      <c r="C157" s="25"/>
      <c r="D157" s="25"/>
      <c r="E157" s="25"/>
      <c r="F157" s="25"/>
      <c r="G157" s="25"/>
      <c r="H157" s="25"/>
      <c r="I157" s="25"/>
      <c r="J157" s="25"/>
      <c r="K157" s="25"/>
      <c r="L157" s="25"/>
      <c r="M157" s="25"/>
      <c r="N157" s="25"/>
      <c r="O157" s="25"/>
      <c r="P157" s="25"/>
      <c r="Q157" s="25"/>
      <c r="R157" s="25"/>
      <c r="S157" s="25"/>
    </row>
    <row r="158" spans="2:19" x14ac:dyDescent="0.3">
      <c r="B158" s="25"/>
      <c r="C158" s="25"/>
      <c r="D158" s="25"/>
      <c r="E158" s="25"/>
      <c r="F158" s="25"/>
      <c r="G158" s="25"/>
      <c r="H158" s="25"/>
      <c r="I158" s="25"/>
      <c r="J158" s="25"/>
      <c r="K158" s="25"/>
      <c r="L158" s="25"/>
      <c r="M158" s="25"/>
      <c r="N158" s="25"/>
      <c r="O158" s="25"/>
      <c r="P158" s="25"/>
      <c r="Q158" s="25"/>
      <c r="R158" s="25"/>
      <c r="S158" s="25"/>
    </row>
    <row r="159" spans="2:19" x14ac:dyDescent="0.3">
      <c r="B159" s="25"/>
      <c r="C159" s="25"/>
      <c r="D159" s="25"/>
      <c r="E159" s="25"/>
      <c r="F159" s="25"/>
      <c r="G159" s="25"/>
      <c r="H159" s="25"/>
      <c r="I159" s="25"/>
      <c r="J159" s="25"/>
      <c r="K159" s="25"/>
      <c r="L159" s="25"/>
      <c r="M159" s="25"/>
      <c r="N159" s="25"/>
      <c r="O159" s="25"/>
      <c r="P159" s="25"/>
      <c r="Q159" s="25"/>
      <c r="R159" s="25"/>
      <c r="S159" s="25"/>
    </row>
    <row r="160" spans="2:19" x14ac:dyDescent="0.3">
      <c r="B160" s="25"/>
      <c r="C160" s="25"/>
      <c r="D160" s="25"/>
      <c r="E160" s="25"/>
      <c r="F160" s="25"/>
      <c r="G160" s="25"/>
      <c r="H160" s="25"/>
      <c r="I160" s="25"/>
      <c r="J160" s="25"/>
      <c r="K160" s="25"/>
      <c r="L160" s="25"/>
      <c r="M160" s="25"/>
      <c r="N160" s="25"/>
      <c r="O160" s="25"/>
      <c r="P160" s="25"/>
      <c r="Q160" s="25"/>
      <c r="R160" s="25"/>
      <c r="S160" s="25"/>
    </row>
    <row r="161" spans="2:19" x14ac:dyDescent="0.3">
      <c r="B161" s="25"/>
      <c r="C161" s="25"/>
      <c r="D161" s="25"/>
      <c r="E161" s="25"/>
      <c r="F161" s="25"/>
      <c r="G161" s="25"/>
      <c r="H161" s="25"/>
      <c r="I161" s="25"/>
      <c r="J161" s="25"/>
      <c r="K161" s="25"/>
      <c r="L161" s="25"/>
      <c r="M161" s="25"/>
      <c r="N161" s="25"/>
      <c r="O161" s="25"/>
      <c r="P161" s="25"/>
      <c r="Q161" s="25"/>
      <c r="R161" s="25"/>
      <c r="S161" s="25"/>
    </row>
    <row r="162" spans="2:19" x14ac:dyDescent="0.3">
      <c r="B162" s="25"/>
      <c r="C162" s="25"/>
      <c r="D162" s="25"/>
      <c r="E162" s="25"/>
      <c r="F162" s="25"/>
      <c r="G162" s="25"/>
      <c r="H162" s="25"/>
      <c r="I162" s="25"/>
      <c r="J162" s="25"/>
      <c r="K162" s="25"/>
      <c r="L162" s="25"/>
      <c r="M162" s="25"/>
      <c r="N162" s="25"/>
      <c r="O162" s="25"/>
      <c r="P162" s="25"/>
      <c r="Q162" s="25"/>
      <c r="R162" s="25"/>
      <c r="S162" s="25"/>
    </row>
    <row r="163" spans="2:19" x14ac:dyDescent="0.3">
      <c r="B163" s="25"/>
      <c r="C163" s="25"/>
      <c r="D163" s="25"/>
      <c r="E163" s="25"/>
      <c r="F163" s="25"/>
      <c r="G163" s="25"/>
      <c r="H163" s="25"/>
      <c r="I163" s="25"/>
      <c r="J163" s="25"/>
      <c r="K163" s="25"/>
      <c r="L163" s="25"/>
      <c r="M163" s="25"/>
      <c r="N163" s="25"/>
      <c r="O163" s="25"/>
      <c r="P163" s="25"/>
      <c r="Q163" s="25"/>
      <c r="R163" s="25"/>
      <c r="S163" s="25"/>
    </row>
    <row r="164" spans="2:19" x14ac:dyDescent="0.3">
      <c r="B164" s="25"/>
      <c r="C164" s="25"/>
      <c r="D164" s="25"/>
      <c r="E164" s="25"/>
      <c r="F164" s="25"/>
      <c r="G164" s="25"/>
      <c r="H164" s="25"/>
      <c r="I164" s="25"/>
      <c r="J164" s="25"/>
      <c r="K164" s="25"/>
      <c r="L164" s="25"/>
      <c r="M164" s="25"/>
      <c r="N164" s="25"/>
      <c r="O164" s="25"/>
      <c r="P164" s="25"/>
      <c r="Q164" s="25"/>
      <c r="R164" s="25"/>
      <c r="S164" s="25"/>
    </row>
    <row r="165" spans="2:19" x14ac:dyDescent="0.3">
      <c r="B165" s="25"/>
      <c r="C165" s="25"/>
      <c r="D165" s="25"/>
      <c r="E165" s="25"/>
      <c r="F165" s="25"/>
      <c r="G165" s="25"/>
      <c r="H165" s="25"/>
      <c r="I165" s="25"/>
      <c r="J165" s="25"/>
      <c r="K165" s="25"/>
      <c r="L165" s="25"/>
      <c r="M165" s="25"/>
      <c r="N165" s="25"/>
      <c r="O165" s="25"/>
      <c r="P165" s="25"/>
      <c r="Q165" s="25"/>
      <c r="R165" s="25"/>
      <c r="S165" s="25"/>
    </row>
    <row r="166" spans="2:19" x14ac:dyDescent="0.3">
      <c r="B166" s="25"/>
      <c r="C166" s="25"/>
      <c r="D166" s="25"/>
      <c r="E166" s="25"/>
      <c r="F166" s="25"/>
      <c r="G166" s="25"/>
      <c r="H166" s="25"/>
      <c r="I166" s="25"/>
      <c r="J166" s="25"/>
      <c r="K166" s="25"/>
      <c r="L166" s="25"/>
      <c r="M166" s="25"/>
      <c r="N166" s="25"/>
      <c r="O166" s="25"/>
      <c r="P166" s="25"/>
      <c r="Q166" s="25"/>
      <c r="R166" s="25"/>
      <c r="S166" s="25"/>
    </row>
    <row r="167" spans="2:19" x14ac:dyDescent="0.3">
      <c r="B167" s="25"/>
      <c r="C167" s="25"/>
      <c r="D167" s="25"/>
      <c r="E167" s="25"/>
      <c r="F167" s="25"/>
      <c r="G167" s="25"/>
      <c r="H167" s="25"/>
      <c r="I167" s="25"/>
      <c r="J167" s="25"/>
      <c r="K167" s="25"/>
      <c r="L167" s="25"/>
      <c r="M167" s="25"/>
      <c r="N167" s="25"/>
      <c r="O167" s="25"/>
      <c r="P167" s="25"/>
      <c r="Q167" s="25"/>
      <c r="R167" s="25"/>
      <c r="S167" s="25"/>
    </row>
    <row r="168" spans="2:19" x14ac:dyDescent="0.3">
      <c r="B168" s="25"/>
      <c r="C168" s="25"/>
      <c r="D168" s="25"/>
      <c r="E168" s="25"/>
      <c r="F168" s="25"/>
      <c r="G168" s="25"/>
      <c r="H168" s="25"/>
      <c r="I168" s="25"/>
      <c r="J168" s="25"/>
      <c r="K168" s="25"/>
      <c r="L168" s="25"/>
      <c r="M168" s="25"/>
      <c r="N168" s="25"/>
      <c r="O168" s="25"/>
      <c r="P168" s="25"/>
      <c r="Q168" s="25"/>
      <c r="R168" s="25"/>
      <c r="S168" s="25"/>
    </row>
    <row r="169" spans="2:19" x14ac:dyDescent="0.3">
      <c r="B169" s="25"/>
      <c r="C169" s="25"/>
      <c r="D169" s="25"/>
      <c r="E169" s="25"/>
      <c r="F169" s="25"/>
      <c r="G169" s="25"/>
      <c r="H169" s="25"/>
      <c r="I169" s="25"/>
      <c r="J169" s="25"/>
      <c r="K169" s="25"/>
      <c r="L169" s="25"/>
      <c r="M169" s="25"/>
      <c r="N169" s="25"/>
      <c r="O169" s="25"/>
      <c r="P169" s="25"/>
      <c r="Q169" s="25"/>
      <c r="R169" s="25"/>
      <c r="S169" s="25"/>
    </row>
    <row r="170" spans="2:19" x14ac:dyDescent="0.3">
      <c r="B170" s="25"/>
      <c r="C170" s="25"/>
      <c r="D170" s="25"/>
      <c r="E170" s="25"/>
      <c r="F170" s="25"/>
      <c r="G170" s="25"/>
      <c r="H170" s="25"/>
      <c r="I170" s="25"/>
      <c r="J170" s="25"/>
      <c r="K170" s="25"/>
      <c r="L170" s="25"/>
      <c r="M170" s="25"/>
      <c r="N170" s="25"/>
      <c r="O170" s="25"/>
      <c r="P170" s="25"/>
      <c r="Q170" s="25"/>
      <c r="R170" s="25"/>
      <c r="S170" s="25"/>
    </row>
    <row r="171" spans="2:19" x14ac:dyDescent="0.3">
      <c r="B171" s="25"/>
      <c r="C171" s="25"/>
      <c r="D171" s="25"/>
      <c r="E171" s="25"/>
      <c r="F171" s="25"/>
      <c r="G171" s="25"/>
      <c r="H171" s="25"/>
      <c r="I171" s="25"/>
      <c r="J171" s="25"/>
      <c r="K171" s="25"/>
      <c r="L171" s="25"/>
      <c r="M171" s="25"/>
      <c r="N171" s="25"/>
      <c r="O171" s="25"/>
      <c r="P171" s="25"/>
      <c r="Q171" s="25"/>
      <c r="R171" s="25"/>
      <c r="S171" s="25"/>
    </row>
    <row r="172" spans="2:19" x14ac:dyDescent="0.3">
      <c r="B172" s="25"/>
      <c r="C172" s="25"/>
      <c r="D172" s="25"/>
      <c r="E172" s="25"/>
      <c r="F172" s="25"/>
      <c r="G172" s="25"/>
      <c r="H172" s="25"/>
      <c r="I172" s="25"/>
      <c r="J172" s="25"/>
      <c r="K172" s="25"/>
      <c r="L172" s="25"/>
      <c r="M172" s="25"/>
      <c r="N172" s="25"/>
      <c r="O172" s="25"/>
      <c r="P172" s="25"/>
      <c r="Q172" s="25"/>
      <c r="R172" s="25"/>
      <c r="S172" s="25"/>
    </row>
    <row r="173" spans="2:19" x14ac:dyDescent="0.3">
      <c r="B173" s="25"/>
      <c r="C173" s="25"/>
      <c r="D173" s="25"/>
      <c r="E173" s="25"/>
      <c r="F173" s="25"/>
      <c r="G173" s="25"/>
      <c r="H173" s="25"/>
      <c r="I173" s="25"/>
      <c r="J173" s="25"/>
      <c r="K173" s="25"/>
      <c r="L173" s="25"/>
      <c r="M173" s="25"/>
      <c r="N173" s="25"/>
      <c r="O173" s="25"/>
      <c r="P173" s="25"/>
      <c r="Q173" s="25"/>
      <c r="R173" s="25"/>
      <c r="S173" s="25"/>
    </row>
    <row r="174" spans="2:19" x14ac:dyDescent="0.3">
      <c r="B174" s="25"/>
      <c r="C174" s="25"/>
      <c r="D174" s="25"/>
      <c r="E174" s="25"/>
      <c r="F174" s="25"/>
      <c r="G174" s="25"/>
      <c r="H174" s="25"/>
      <c r="I174" s="25"/>
      <c r="J174" s="25"/>
      <c r="K174" s="25"/>
      <c r="L174" s="25"/>
      <c r="M174" s="25"/>
      <c r="N174" s="25"/>
      <c r="O174" s="25"/>
      <c r="P174" s="25"/>
      <c r="Q174" s="25"/>
      <c r="R174" s="25"/>
      <c r="S174" s="25"/>
    </row>
    <row r="175" spans="2:19" x14ac:dyDescent="0.3">
      <c r="B175" s="25"/>
      <c r="C175" s="25"/>
      <c r="D175" s="25"/>
      <c r="E175" s="25"/>
      <c r="F175" s="25"/>
      <c r="G175" s="25"/>
      <c r="H175" s="25"/>
      <c r="I175" s="25"/>
      <c r="J175" s="25"/>
      <c r="K175" s="25"/>
      <c r="L175" s="25"/>
      <c r="M175" s="25"/>
      <c r="N175" s="25"/>
      <c r="O175" s="25"/>
      <c r="P175" s="25"/>
      <c r="Q175" s="25"/>
      <c r="R175" s="25"/>
      <c r="S175" s="25"/>
    </row>
    <row r="176" spans="2:19" x14ac:dyDescent="0.3">
      <c r="B176" s="25"/>
      <c r="C176" s="25"/>
      <c r="D176" s="25"/>
      <c r="E176" s="25"/>
      <c r="F176" s="25"/>
      <c r="G176" s="25"/>
      <c r="H176" s="25"/>
      <c r="I176" s="25"/>
      <c r="J176" s="25"/>
      <c r="K176" s="25"/>
      <c r="L176" s="25"/>
      <c r="M176" s="25"/>
      <c r="N176" s="25"/>
      <c r="O176" s="25"/>
      <c r="P176" s="25"/>
      <c r="Q176" s="25"/>
      <c r="R176" s="25"/>
      <c r="S176" s="25"/>
    </row>
    <row r="177" spans="2:19" x14ac:dyDescent="0.3">
      <c r="B177" s="25"/>
      <c r="C177" s="25"/>
      <c r="D177" s="25"/>
      <c r="E177" s="25"/>
      <c r="F177" s="25"/>
      <c r="G177" s="25"/>
      <c r="H177" s="25"/>
      <c r="I177" s="25"/>
      <c r="J177" s="25"/>
      <c r="K177" s="25"/>
      <c r="L177" s="25"/>
      <c r="M177" s="25"/>
      <c r="N177" s="25"/>
      <c r="O177" s="25"/>
      <c r="P177" s="25"/>
      <c r="Q177" s="25"/>
      <c r="R177" s="25"/>
      <c r="S177" s="25"/>
    </row>
    <row r="178" spans="2:19" x14ac:dyDescent="0.3">
      <c r="B178" s="25"/>
      <c r="C178" s="25"/>
      <c r="D178" s="25"/>
      <c r="E178" s="25"/>
      <c r="F178" s="25"/>
      <c r="G178" s="25"/>
      <c r="H178" s="25"/>
      <c r="I178" s="25"/>
      <c r="J178" s="25"/>
      <c r="K178" s="25"/>
      <c r="L178" s="25"/>
      <c r="M178" s="25"/>
      <c r="N178" s="25"/>
      <c r="O178" s="25"/>
      <c r="P178" s="25"/>
      <c r="Q178" s="25"/>
      <c r="R178" s="25"/>
      <c r="S178" s="25"/>
    </row>
    <row r="179" spans="2:19" x14ac:dyDescent="0.3">
      <c r="B179" s="25"/>
      <c r="C179" s="25"/>
      <c r="D179" s="25"/>
      <c r="E179" s="25"/>
      <c r="F179" s="25"/>
      <c r="G179" s="25"/>
      <c r="H179" s="25"/>
      <c r="I179" s="25"/>
      <c r="J179" s="25"/>
      <c r="K179" s="25"/>
      <c r="L179" s="25"/>
      <c r="M179" s="25"/>
      <c r="N179" s="25"/>
      <c r="O179" s="25"/>
      <c r="P179" s="25"/>
      <c r="Q179" s="25"/>
      <c r="R179" s="25"/>
      <c r="S179" s="25"/>
    </row>
    <row r="180" spans="2:19" x14ac:dyDescent="0.3">
      <c r="B180" s="25"/>
      <c r="C180" s="25"/>
      <c r="D180" s="25"/>
      <c r="E180" s="25"/>
      <c r="F180" s="25"/>
      <c r="G180" s="25"/>
      <c r="H180" s="25"/>
      <c r="I180" s="25"/>
      <c r="J180" s="25"/>
      <c r="K180" s="25"/>
      <c r="L180" s="25"/>
      <c r="M180" s="25"/>
      <c r="N180" s="25"/>
      <c r="O180" s="25"/>
      <c r="P180" s="25"/>
      <c r="Q180" s="25"/>
      <c r="R180" s="25"/>
      <c r="S180" s="25"/>
    </row>
    <row r="181" spans="2:19" x14ac:dyDescent="0.3">
      <c r="B181" s="25"/>
      <c r="C181" s="25"/>
      <c r="D181" s="25"/>
      <c r="E181" s="25"/>
      <c r="F181" s="25"/>
      <c r="G181" s="25"/>
      <c r="H181" s="25"/>
      <c r="I181" s="25"/>
      <c r="J181" s="25"/>
      <c r="K181" s="25"/>
      <c r="L181" s="25"/>
      <c r="M181" s="25"/>
      <c r="N181" s="25"/>
      <c r="O181" s="25"/>
      <c r="P181" s="25"/>
      <c r="Q181" s="25"/>
      <c r="R181" s="25"/>
      <c r="S181" s="25"/>
    </row>
    <row r="182" spans="2:19" x14ac:dyDescent="0.3">
      <c r="B182" s="25"/>
      <c r="C182" s="25"/>
      <c r="D182" s="25"/>
      <c r="E182" s="25"/>
      <c r="F182" s="25"/>
      <c r="G182" s="25"/>
      <c r="H182" s="25"/>
      <c r="I182" s="25"/>
      <c r="J182" s="25"/>
      <c r="K182" s="25"/>
      <c r="L182" s="25"/>
      <c r="M182" s="25"/>
      <c r="N182" s="25"/>
      <c r="O182" s="25"/>
      <c r="P182" s="25"/>
      <c r="Q182" s="25"/>
      <c r="R182" s="25"/>
      <c r="S182" s="25"/>
    </row>
    <row r="183" spans="2:19" x14ac:dyDescent="0.3">
      <c r="B183" s="25"/>
      <c r="C183" s="25"/>
      <c r="D183" s="25"/>
      <c r="E183" s="25"/>
      <c r="F183" s="25"/>
      <c r="G183" s="25"/>
      <c r="H183" s="25"/>
      <c r="I183" s="25"/>
      <c r="J183" s="25"/>
      <c r="K183" s="25"/>
      <c r="L183" s="25"/>
      <c r="M183" s="25"/>
      <c r="N183" s="25"/>
      <c r="O183" s="25"/>
      <c r="P183" s="25"/>
      <c r="Q183" s="25"/>
      <c r="R183" s="25"/>
      <c r="S183" s="25"/>
    </row>
    <row r="184" spans="2:19" x14ac:dyDescent="0.3">
      <c r="B184" s="25"/>
      <c r="C184" s="25"/>
      <c r="D184" s="25"/>
      <c r="E184" s="25"/>
      <c r="F184" s="25"/>
      <c r="G184" s="25"/>
      <c r="H184" s="25"/>
      <c r="I184" s="25"/>
      <c r="J184" s="25"/>
      <c r="K184" s="25"/>
      <c r="L184" s="25"/>
      <c r="M184" s="25"/>
      <c r="N184" s="25"/>
      <c r="O184" s="25"/>
      <c r="P184" s="25"/>
      <c r="Q184" s="25"/>
      <c r="R184" s="25"/>
      <c r="S184" s="25"/>
    </row>
    <row r="185" spans="2:19" x14ac:dyDescent="0.3">
      <c r="B185" s="25"/>
      <c r="C185" s="25"/>
      <c r="D185" s="25"/>
      <c r="E185" s="25"/>
      <c r="F185" s="25"/>
      <c r="G185" s="25"/>
      <c r="H185" s="25"/>
      <c r="I185" s="25"/>
      <c r="J185" s="25"/>
      <c r="K185" s="25"/>
      <c r="L185" s="25"/>
      <c r="M185" s="25"/>
      <c r="N185" s="25"/>
      <c r="O185" s="25"/>
      <c r="P185" s="25"/>
      <c r="Q185" s="25"/>
      <c r="R185" s="25"/>
      <c r="S185" s="25"/>
    </row>
    <row r="186" spans="2:19" x14ac:dyDescent="0.3">
      <c r="B186" s="25"/>
      <c r="C186" s="25"/>
      <c r="D186" s="25"/>
      <c r="E186" s="25"/>
      <c r="F186" s="25"/>
      <c r="G186" s="25"/>
      <c r="H186" s="25"/>
      <c r="I186" s="25"/>
      <c r="J186" s="25"/>
      <c r="K186" s="25"/>
      <c r="L186" s="25"/>
      <c r="M186" s="25"/>
      <c r="N186" s="25"/>
      <c r="O186" s="25"/>
      <c r="P186" s="25"/>
      <c r="Q186" s="25"/>
      <c r="R186" s="25"/>
      <c r="S186" s="25"/>
    </row>
    <row r="187" spans="2:19" x14ac:dyDescent="0.3">
      <c r="B187" s="25"/>
      <c r="C187" s="25"/>
      <c r="D187" s="25"/>
      <c r="E187" s="25"/>
      <c r="F187" s="25"/>
      <c r="G187" s="25"/>
      <c r="H187" s="25"/>
      <c r="I187" s="25"/>
      <c r="J187" s="25"/>
      <c r="K187" s="25"/>
      <c r="L187" s="25"/>
      <c r="M187" s="25"/>
      <c r="N187" s="25"/>
      <c r="O187" s="25"/>
      <c r="P187" s="25"/>
      <c r="Q187" s="25"/>
      <c r="R187" s="25"/>
      <c r="S187" s="25"/>
    </row>
    <row r="188" spans="2:19" x14ac:dyDescent="0.3">
      <c r="B188" s="25"/>
      <c r="C188" s="25"/>
      <c r="D188" s="25"/>
      <c r="E188" s="25"/>
      <c r="F188" s="25"/>
      <c r="G188" s="25"/>
      <c r="H188" s="25"/>
      <c r="I188" s="25"/>
      <c r="J188" s="25"/>
      <c r="K188" s="25"/>
      <c r="L188" s="25"/>
      <c r="M188" s="25"/>
      <c r="N188" s="25"/>
      <c r="O188" s="25"/>
      <c r="P188" s="25"/>
      <c r="Q188" s="25"/>
      <c r="R188" s="25"/>
      <c r="S188" s="25"/>
    </row>
    <row r="189" spans="2:19" x14ac:dyDescent="0.3">
      <c r="B189" s="25"/>
      <c r="C189" s="25"/>
      <c r="D189" s="25"/>
      <c r="E189" s="25"/>
      <c r="F189" s="25"/>
      <c r="G189" s="25"/>
      <c r="H189" s="25"/>
      <c r="I189" s="25"/>
      <c r="J189" s="25"/>
      <c r="K189" s="25"/>
      <c r="L189" s="25"/>
      <c r="M189" s="25"/>
      <c r="N189" s="25"/>
      <c r="O189" s="25"/>
      <c r="P189" s="25"/>
      <c r="Q189" s="25"/>
      <c r="R189" s="25"/>
      <c r="S189" s="25"/>
    </row>
    <row r="190" spans="2:19" x14ac:dyDescent="0.3">
      <c r="B190" s="25"/>
      <c r="C190" s="25"/>
      <c r="D190" s="25"/>
      <c r="E190" s="25"/>
      <c r="F190" s="25"/>
      <c r="G190" s="25"/>
      <c r="H190" s="25"/>
      <c r="I190" s="25"/>
      <c r="J190" s="25"/>
      <c r="K190" s="25"/>
      <c r="L190" s="25"/>
      <c r="M190" s="25"/>
      <c r="N190" s="25"/>
      <c r="O190" s="25"/>
      <c r="P190" s="25"/>
      <c r="Q190" s="25"/>
      <c r="R190" s="25"/>
      <c r="S190" s="25"/>
    </row>
    <row r="191" spans="2:19" x14ac:dyDescent="0.3">
      <c r="B191" s="25"/>
      <c r="C191" s="25"/>
      <c r="D191" s="25"/>
      <c r="E191" s="25"/>
      <c r="F191" s="25"/>
      <c r="G191" s="25"/>
      <c r="H191" s="25"/>
      <c r="I191" s="25"/>
      <c r="J191" s="25"/>
      <c r="K191" s="25"/>
      <c r="L191" s="25"/>
      <c r="M191" s="25"/>
      <c r="N191" s="25"/>
      <c r="O191" s="25"/>
      <c r="P191" s="25"/>
      <c r="Q191" s="25"/>
      <c r="R191" s="25"/>
      <c r="S191" s="25"/>
    </row>
    <row r="192" spans="2:19" x14ac:dyDescent="0.3">
      <c r="B192" s="25"/>
      <c r="C192" s="25"/>
      <c r="D192" s="25"/>
      <c r="E192" s="25"/>
      <c r="F192" s="25"/>
      <c r="G192" s="25"/>
      <c r="H192" s="25"/>
      <c r="I192" s="25"/>
      <c r="J192" s="25"/>
      <c r="K192" s="25"/>
      <c r="L192" s="25"/>
      <c r="M192" s="25"/>
      <c r="N192" s="25"/>
      <c r="O192" s="25"/>
      <c r="P192" s="25"/>
      <c r="Q192" s="25"/>
      <c r="R192" s="25"/>
      <c r="S192" s="25"/>
    </row>
    <row r="193" spans="2:19" x14ac:dyDescent="0.3">
      <c r="B193" s="25"/>
      <c r="C193" s="25"/>
      <c r="D193" s="25"/>
      <c r="E193" s="25"/>
      <c r="F193" s="25"/>
      <c r="G193" s="25"/>
      <c r="H193" s="25"/>
      <c r="I193" s="25"/>
      <c r="J193" s="25"/>
      <c r="K193" s="25"/>
      <c r="L193" s="25"/>
      <c r="M193" s="25"/>
      <c r="N193" s="25"/>
      <c r="O193" s="25"/>
      <c r="P193" s="25"/>
      <c r="Q193" s="25"/>
      <c r="R193" s="25"/>
      <c r="S193" s="25"/>
    </row>
    <row r="194" spans="2:19" x14ac:dyDescent="0.3">
      <c r="B194" s="25"/>
      <c r="C194" s="25"/>
      <c r="D194" s="25"/>
      <c r="E194" s="25"/>
      <c r="F194" s="25"/>
      <c r="G194" s="25"/>
      <c r="H194" s="25"/>
      <c r="I194" s="25"/>
      <c r="J194" s="25"/>
      <c r="K194" s="25"/>
      <c r="L194" s="25"/>
      <c r="M194" s="25"/>
      <c r="N194" s="25"/>
      <c r="O194" s="25"/>
      <c r="P194" s="25"/>
      <c r="Q194" s="25"/>
      <c r="R194" s="25"/>
      <c r="S194" s="25"/>
    </row>
    <row r="195" spans="2:19" x14ac:dyDescent="0.3">
      <c r="B195" s="25"/>
      <c r="C195" s="25"/>
      <c r="D195" s="25"/>
      <c r="E195" s="25"/>
      <c r="F195" s="25"/>
      <c r="G195" s="25"/>
      <c r="H195" s="25"/>
      <c r="I195" s="25"/>
      <c r="J195" s="25"/>
      <c r="K195" s="25"/>
      <c r="L195" s="25"/>
      <c r="M195" s="25"/>
      <c r="N195" s="25"/>
      <c r="O195" s="25"/>
      <c r="P195" s="25"/>
      <c r="Q195" s="25"/>
      <c r="R195" s="25"/>
      <c r="S195" s="25"/>
    </row>
    <row r="196" spans="2:19" x14ac:dyDescent="0.3">
      <c r="B196" s="25"/>
      <c r="C196" s="25"/>
      <c r="D196" s="25"/>
      <c r="E196" s="25"/>
      <c r="F196" s="25"/>
      <c r="G196" s="25"/>
      <c r="H196" s="25"/>
      <c r="I196" s="25"/>
      <c r="J196" s="25"/>
      <c r="K196" s="25"/>
      <c r="L196" s="25"/>
      <c r="M196" s="25"/>
      <c r="N196" s="25"/>
      <c r="O196" s="25"/>
      <c r="P196" s="25"/>
      <c r="Q196" s="25"/>
      <c r="R196" s="25"/>
      <c r="S196" s="25"/>
    </row>
    <row r="197" spans="2:19" x14ac:dyDescent="0.3">
      <c r="B197" s="25"/>
      <c r="C197" s="25"/>
      <c r="D197" s="25"/>
      <c r="E197" s="25"/>
      <c r="F197" s="25"/>
      <c r="G197" s="25"/>
      <c r="H197" s="25"/>
      <c r="I197" s="25"/>
      <c r="J197" s="25"/>
      <c r="K197" s="25"/>
      <c r="L197" s="25"/>
      <c r="M197" s="25"/>
      <c r="N197" s="25"/>
      <c r="O197" s="25"/>
      <c r="P197" s="25"/>
      <c r="Q197" s="25"/>
      <c r="R197" s="25"/>
      <c r="S197" s="25"/>
    </row>
    <row r="198" spans="2:19" x14ac:dyDescent="0.3">
      <c r="B198" s="25"/>
      <c r="C198" s="25"/>
      <c r="D198" s="25"/>
      <c r="E198" s="25"/>
      <c r="F198" s="25"/>
      <c r="G198" s="25"/>
      <c r="H198" s="25"/>
      <c r="I198" s="25"/>
      <c r="J198" s="25"/>
      <c r="K198" s="25"/>
      <c r="L198" s="25"/>
      <c r="M198" s="25"/>
      <c r="N198" s="25"/>
      <c r="O198" s="25"/>
      <c r="P198" s="25"/>
      <c r="Q198" s="25"/>
      <c r="R198" s="25"/>
      <c r="S198" s="25"/>
    </row>
    <row r="199" spans="2:19" x14ac:dyDescent="0.3">
      <c r="B199" s="25"/>
      <c r="C199" s="25"/>
      <c r="D199" s="25"/>
      <c r="E199" s="25"/>
      <c r="F199" s="25"/>
      <c r="G199" s="25"/>
      <c r="H199" s="25"/>
      <c r="I199" s="25"/>
      <c r="J199" s="25"/>
      <c r="K199" s="25"/>
      <c r="L199" s="25"/>
      <c r="M199" s="25"/>
      <c r="N199" s="25"/>
      <c r="O199" s="25"/>
      <c r="P199" s="25"/>
      <c r="Q199" s="25"/>
      <c r="R199" s="25"/>
      <c r="S199" s="25"/>
    </row>
    <row r="200" spans="2:19" x14ac:dyDescent="0.3">
      <c r="B200" s="25"/>
      <c r="C200" s="25"/>
      <c r="D200" s="25"/>
      <c r="E200" s="25"/>
      <c r="F200" s="25"/>
      <c r="G200" s="25"/>
      <c r="H200" s="25"/>
      <c r="I200" s="25"/>
      <c r="J200" s="25"/>
      <c r="K200" s="25"/>
      <c r="L200" s="25"/>
      <c r="M200" s="25"/>
      <c r="N200" s="25"/>
      <c r="O200" s="25"/>
      <c r="P200" s="25"/>
      <c r="Q200" s="25"/>
      <c r="R200" s="25"/>
      <c r="S200" s="25"/>
    </row>
    <row r="201" spans="2:19" x14ac:dyDescent="0.3">
      <c r="B201" s="25"/>
      <c r="C201" s="25"/>
      <c r="D201" s="25"/>
      <c r="E201" s="25"/>
      <c r="F201" s="25"/>
      <c r="G201" s="25"/>
      <c r="H201" s="25"/>
      <c r="I201" s="25"/>
      <c r="J201" s="25"/>
      <c r="K201" s="25"/>
      <c r="L201" s="25"/>
      <c r="M201" s="25"/>
      <c r="N201" s="25"/>
      <c r="O201" s="25"/>
      <c r="P201" s="25"/>
      <c r="Q201" s="25"/>
      <c r="R201" s="25"/>
      <c r="S201" s="25"/>
    </row>
    <row r="202" spans="2:19" x14ac:dyDescent="0.3">
      <c r="B202" s="25"/>
      <c r="C202" s="25"/>
      <c r="D202" s="25"/>
      <c r="E202" s="25"/>
      <c r="F202" s="25"/>
      <c r="G202" s="25"/>
      <c r="H202" s="25"/>
      <c r="I202" s="25"/>
      <c r="J202" s="25"/>
      <c r="K202" s="25"/>
      <c r="L202" s="25"/>
      <c r="M202" s="25"/>
      <c r="N202" s="25"/>
      <c r="O202" s="25"/>
      <c r="P202" s="25"/>
      <c r="Q202" s="25"/>
      <c r="R202" s="25"/>
      <c r="S202" s="25"/>
    </row>
    <row r="203" spans="2:19" x14ac:dyDescent="0.3">
      <c r="B203" s="25"/>
      <c r="C203" s="25"/>
      <c r="D203" s="25"/>
      <c r="E203" s="25"/>
      <c r="F203" s="25"/>
      <c r="G203" s="25"/>
      <c r="H203" s="25"/>
      <c r="I203" s="25"/>
      <c r="J203" s="25"/>
      <c r="K203" s="25"/>
      <c r="L203" s="25"/>
      <c r="M203" s="25"/>
      <c r="N203" s="25"/>
      <c r="O203" s="25"/>
      <c r="P203" s="25"/>
      <c r="Q203" s="25"/>
      <c r="R203" s="25"/>
      <c r="S203" s="25"/>
    </row>
    <row r="204" spans="2:19" x14ac:dyDescent="0.3">
      <c r="B204" s="25"/>
      <c r="C204" s="25"/>
      <c r="D204" s="25"/>
      <c r="E204" s="25"/>
      <c r="F204" s="25"/>
      <c r="G204" s="25"/>
      <c r="H204" s="25"/>
      <c r="I204" s="25"/>
      <c r="J204" s="25"/>
      <c r="K204" s="25"/>
      <c r="L204" s="25"/>
      <c r="M204" s="25"/>
      <c r="N204" s="25"/>
      <c r="O204" s="25"/>
      <c r="P204" s="25"/>
      <c r="Q204" s="25"/>
      <c r="R204" s="25"/>
      <c r="S204" s="25"/>
    </row>
    <row r="205" spans="2:19" x14ac:dyDescent="0.3">
      <c r="B205" s="25"/>
      <c r="C205" s="25"/>
      <c r="D205" s="25"/>
      <c r="E205" s="25"/>
      <c r="F205" s="25"/>
      <c r="G205" s="25"/>
      <c r="H205" s="25"/>
      <c r="I205" s="25"/>
      <c r="J205" s="25"/>
      <c r="K205" s="25"/>
      <c r="L205" s="25"/>
      <c r="M205" s="25"/>
      <c r="N205" s="25"/>
      <c r="O205" s="25"/>
      <c r="P205" s="25"/>
      <c r="Q205" s="25"/>
      <c r="R205" s="25"/>
      <c r="S205" s="25"/>
    </row>
    <row r="206" spans="2:19" x14ac:dyDescent="0.3">
      <c r="B206" s="25"/>
      <c r="C206" s="25"/>
      <c r="D206" s="25"/>
      <c r="E206" s="25"/>
      <c r="F206" s="25"/>
      <c r="G206" s="25"/>
      <c r="H206" s="25"/>
      <c r="I206" s="25"/>
      <c r="J206" s="25"/>
      <c r="K206" s="25"/>
      <c r="L206" s="25"/>
      <c r="M206" s="25"/>
      <c r="N206" s="25"/>
      <c r="O206" s="25"/>
      <c r="P206" s="25"/>
      <c r="Q206" s="25"/>
      <c r="R206" s="25"/>
      <c r="S206" s="25"/>
    </row>
    <row r="207" spans="2:19" x14ac:dyDescent="0.3">
      <c r="B207" s="25"/>
      <c r="C207" s="25"/>
      <c r="D207" s="25"/>
      <c r="E207" s="25"/>
      <c r="F207" s="25"/>
      <c r="G207" s="25"/>
      <c r="H207" s="25"/>
      <c r="I207" s="25"/>
      <c r="J207" s="25"/>
      <c r="K207" s="25"/>
      <c r="L207" s="25"/>
      <c r="M207" s="25"/>
      <c r="N207" s="25"/>
      <c r="O207" s="25"/>
      <c r="P207" s="25"/>
      <c r="Q207" s="25"/>
      <c r="R207" s="25"/>
      <c r="S207" s="25"/>
    </row>
    <row r="208" spans="2:19" x14ac:dyDescent="0.3">
      <c r="B208" s="25"/>
      <c r="C208" s="25"/>
      <c r="D208" s="25"/>
      <c r="E208" s="25"/>
      <c r="F208" s="25"/>
      <c r="G208" s="25"/>
      <c r="H208" s="25"/>
      <c r="I208" s="25"/>
      <c r="J208" s="25"/>
      <c r="K208" s="25"/>
      <c r="L208" s="25"/>
      <c r="M208" s="25"/>
      <c r="N208" s="25"/>
      <c r="O208" s="25"/>
      <c r="P208" s="25"/>
      <c r="Q208" s="25"/>
      <c r="R208" s="25"/>
      <c r="S208" s="25"/>
    </row>
    <row r="209" spans="2:19" x14ac:dyDescent="0.3">
      <c r="B209" s="25"/>
      <c r="C209" s="25"/>
      <c r="D209" s="25"/>
      <c r="E209" s="25"/>
      <c r="F209" s="25"/>
      <c r="G209" s="25"/>
      <c r="H209" s="25"/>
      <c r="I209" s="25"/>
      <c r="J209" s="25"/>
      <c r="K209" s="25"/>
      <c r="L209" s="25"/>
      <c r="M209" s="25"/>
      <c r="N209" s="25"/>
      <c r="O209" s="25"/>
      <c r="P209" s="25"/>
      <c r="Q209" s="25"/>
      <c r="R209" s="25"/>
      <c r="S209" s="25"/>
    </row>
    <row r="210" spans="2:19" x14ac:dyDescent="0.3">
      <c r="B210" s="25"/>
      <c r="C210" s="25"/>
      <c r="D210" s="25"/>
      <c r="E210" s="25"/>
      <c r="F210" s="25"/>
      <c r="G210" s="25"/>
      <c r="H210" s="25"/>
      <c r="I210" s="25"/>
      <c r="J210" s="25"/>
      <c r="K210" s="25"/>
      <c r="L210" s="25"/>
      <c r="M210" s="25"/>
      <c r="N210" s="25"/>
      <c r="O210" s="25"/>
      <c r="P210" s="25"/>
      <c r="Q210" s="25"/>
      <c r="R210" s="25"/>
      <c r="S210" s="25"/>
    </row>
    <row r="211" spans="2:19" x14ac:dyDescent="0.3">
      <c r="B211" s="25"/>
      <c r="C211" s="25"/>
      <c r="D211" s="25"/>
      <c r="E211" s="25"/>
      <c r="F211" s="25"/>
      <c r="G211" s="25"/>
      <c r="H211" s="25"/>
      <c r="I211" s="25"/>
      <c r="J211" s="25"/>
      <c r="K211" s="25"/>
      <c r="L211" s="25"/>
      <c r="M211" s="25"/>
      <c r="N211" s="25"/>
      <c r="O211" s="25"/>
      <c r="P211" s="25"/>
      <c r="Q211" s="25"/>
      <c r="R211" s="25"/>
      <c r="S211" s="25"/>
    </row>
    <row r="212" spans="2:19" x14ac:dyDescent="0.3">
      <c r="B212" s="25"/>
      <c r="C212" s="25"/>
      <c r="D212" s="25"/>
      <c r="E212" s="25"/>
      <c r="F212" s="25"/>
      <c r="G212" s="25"/>
      <c r="H212" s="25"/>
      <c r="I212" s="25"/>
      <c r="J212" s="25"/>
      <c r="K212" s="25"/>
      <c r="L212" s="25"/>
      <c r="M212" s="25"/>
      <c r="N212" s="25"/>
      <c r="O212" s="25"/>
      <c r="P212" s="25"/>
      <c r="Q212" s="25"/>
      <c r="R212" s="25"/>
      <c r="S212" s="25"/>
    </row>
    <row r="213" spans="2:19" x14ac:dyDescent="0.3">
      <c r="B213" s="25"/>
      <c r="C213" s="25"/>
      <c r="D213" s="25"/>
      <c r="E213" s="25"/>
      <c r="F213" s="25"/>
      <c r="G213" s="25"/>
      <c r="H213" s="25"/>
      <c r="I213" s="25"/>
      <c r="J213" s="25"/>
      <c r="K213" s="25"/>
      <c r="L213" s="25"/>
      <c r="M213" s="25"/>
      <c r="N213" s="25"/>
      <c r="O213" s="25"/>
      <c r="P213" s="25"/>
      <c r="Q213" s="25"/>
      <c r="R213" s="25"/>
      <c r="S213" s="25"/>
    </row>
    <row r="214" spans="2:19" x14ac:dyDescent="0.3">
      <c r="B214" s="25"/>
      <c r="C214" s="25"/>
      <c r="D214" s="25"/>
      <c r="E214" s="25"/>
      <c r="F214" s="25"/>
      <c r="G214" s="25"/>
      <c r="H214" s="25"/>
      <c r="I214" s="25"/>
      <c r="J214" s="25"/>
      <c r="K214" s="25"/>
      <c r="L214" s="25"/>
      <c r="M214" s="25"/>
      <c r="N214" s="25"/>
      <c r="O214" s="25"/>
      <c r="P214" s="25"/>
      <c r="Q214" s="25"/>
      <c r="R214" s="25"/>
      <c r="S214" s="25"/>
    </row>
    <row r="215" spans="2:19" x14ac:dyDescent="0.3">
      <c r="B215" s="25"/>
      <c r="C215" s="25"/>
      <c r="D215" s="25"/>
      <c r="E215" s="25"/>
      <c r="F215" s="25"/>
      <c r="G215" s="25"/>
      <c r="H215" s="25"/>
      <c r="I215" s="25"/>
      <c r="J215" s="25"/>
      <c r="K215" s="25"/>
      <c r="L215" s="25"/>
      <c r="M215" s="25"/>
      <c r="N215" s="25"/>
      <c r="O215" s="25"/>
      <c r="P215" s="25"/>
      <c r="Q215" s="25"/>
      <c r="R215" s="25"/>
      <c r="S215" s="25"/>
    </row>
    <row r="216" spans="2:19" x14ac:dyDescent="0.3">
      <c r="B216" s="25"/>
      <c r="C216" s="25"/>
      <c r="D216" s="25"/>
      <c r="E216" s="25"/>
      <c r="F216" s="25"/>
      <c r="G216" s="25"/>
      <c r="H216" s="25"/>
      <c r="I216" s="25"/>
      <c r="J216" s="25"/>
      <c r="K216" s="25"/>
      <c r="L216" s="25"/>
      <c r="M216" s="25"/>
      <c r="N216" s="25"/>
      <c r="O216" s="25"/>
      <c r="P216" s="25"/>
      <c r="Q216" s="25"/>
      <c r="R216" s="25"/>
      <c r="S216" s="25"/>
    </row>
    <row r="217" spans="2:19" x14ac:dyDescent="0.3">
      <c r="B217" s="25"/>
      <c r="C217" s="25"/>
      <c r="D217" s="25"/>
      <c r="E217" s="25"/>
      <c r="F217" s="25"/>
      <c r="G217" s="25"/>
      <c r="H217" s="25"/>
      <c r="I217" s="25"/>
      <c r="J217" s="25"/>
      <c r="K217" s="25"/>
      <c r="L217" s="25"/>
      <c r="M217" s="25"/>
      <c r="N217" s="25"/>
      <c r="O217" s="25"/>
      <c r="P217" s="25"/>
      <c r="Q217" s="25"/>
      <c r="R217" s="25"/>
      <c r="S217" s="25"/>
    </row>
    <row r="218" spans="2:19" x14ac:dyDescent="0.3">
      <c r="B218" s="25"/>
      <c r="C218" s="25"/>
      <c r="D218" s="25"/>
      <c r="E218" s="25"/>
      <c r="F218" s="25"/>
      <c r="G218" s="25"/>
      <c r="H218" s="25"/>
      <c r="I218" s="25"/>
      <c r="J218" s="25"/>
      <c r="K218" s="25"/>
      <c r="L218" s="25"/>
      <c r="M218" s="25"/>
      <c r="N218" s="25"/>
      <c r="O218" s="25"/>
      <c r="P218" s="25"/>
      <c r="Q218" s="25"/>
      <c r="R218" s="25"/>
      <c r="S218" s="25"/>
    </row>
    <row r="219" spans="2:19" x14ac:dyDescent="0.3">
      <c r="B219" s="25"/>
      <c r="C219" s="25"/>
      <c r="D219" s="25"/>
      <c r="E219" s="25"/>
      <c r="F219" s="25"/>
      <c r="G219" s="25"/>
      <c r="H219" s="25"/>
      <c r="I219" s="25"/>
      <c r="J219" s="25"/>
      <c r="K219" s="25"/>
      <c r="L219" s="25"/>
      <c r="M219" s="25"/>
      <c r="N219" s="25"/>
      <c r="O219" s="25"/>
      <c r="P219" s="25"/>
      <c r="Q219" s="25"/>
      <c r="R219" s="25"/>
      <c r="S219" s="25"/>
    </row>
    <row r="220" spans="2:19" x14ac:dyDescent="0.3">
      <c r="B220" s="25"/>
      <c r="C220" s="25"/>
      <c r="D220" s="25"/>
      <c r="E220" s="25"/>
      <c r="F220" s="25"/>
      <c r="G220" s="25"/>
      <c r="H220" s="25"/>
      <c r="I220" s="25"/>
      <c r="J220" s="25"/>
      <c r="K220" s="25"/>
      <c r="L220" s="25"/>
      <c r="M220" s="25"/>
      <c r="N220" s="25"/>
      <c r="O220" s="25"/>
      <c r="P220" s="25"/>
      <c r="Q220" s="25"/>
      <c r="R220" s="25"/>
      <c r="S220" s="25"/>
    </row>
    <row r="221" spans="2:19" x14ac:dyDescent="0.3">
      <c r="B221" s="25"/>
      <c r="C221" s="25"/>
      <c r="D221" s="25"/>
      <c r="E221" s="25"/>
      <c r="F221" s="25"/>
      <c r="G221" s="25"/>
      <c r="H221" s="25"/>
      <c r="I221" s="25"/>
      <c r="J221" s="25"/>
      <c r="K221" s="25"/>
      <c r="L221" s="25"/>
      <c r="M221" s="25"/>
      <c r="N221" s="25"/>
      <c r="O221" s="25"/>
      <c r="P221" s="25"/>
      <c r="Q221" s="25"/>
      <c r="R221" s="25"/>
      <c r="S221" s="25"/>
    </row>
    <row r="222" spans="2:19" x14ac:dyDescent="0.3">
      <c r="B222" s="25"/>
      <c r="C222" s="25"/>
      <c r="D222" s="25"/>
      <c r="E222" s="25"/>
      <c r="F222" s="25"/>
      <c r="G222" s="25"/>
      <c r="H222" s="25"/>
      <c r="I222" s="25"/>
      <c r="J222" s="25"/>
      <c r="K222" s="25"/>
      <c r="L222" s="25"/>
      <c r="M222" s="25"/>
      <c r="N222" s="25"/>
      <c r="O222" s="25"/>
      <c r="P222" s="25"/>
      <c r="Q222" s="25"/>
      <c r="R222" s="25"/>
      <c r="S222" s="25"/>
    </row>
    <row r="223" spans="2:19" x14ac:dyDescent="0.3">
      <c r="B223" s="25"/>
      <c r="C223" s="25"/>
      <c r="D223" s="25"/>
      <c r="E223" s="25"/>
      <c r="F223" s="25"/>
      <c r="G223" s="25"/>
      <c r="H223" s="25"/>
      <c r="I223" s="25"/>
      <c r="J223" s="25"/>
      <c r="K223" s="25"/>
      <c r="L223" s="25"/>
      <c r="M223" s="25"/>
      <c r="N223" s="25"/>
      <c r="O223" s="25"/>
      <c r="P223" s="25"/>
      <c r="Q223" s="25"/>
      <c r="R223" s="25"/>
      <c r="S223" s="25"/>
    </row>
    <row r="224" spans="2:19" x14ac:dyDescent="0.3">
      <c r="B224" s="25"/>
      <c r="C224" s="25"/>
      <c r="D224" s="25"/>
      <c r="E224" s="25"/>
      <c r="F224" s="25"/>
      <c r="G224" s="25"/>
      <c r="H224" s="25"/>
      <c r="I224" s="25"/>
      <c r="J224" s="25"/>
      <c r="K224" s="25"/>
      <c r="L224" s="25"/>
      <c r="M224" s="25"/>
      <c r="N224" s="25"/>
      <c r="O224" s="25"/>
      <c r="P224" s="25"/>
      <c r="Q224" s="25"/>
      <c r="R224" s="25"/>
      <c r="S224" s="25"/>
    </row>
    <row r="225" spans="2:19" x14ac:dyDescent="0.3">
      <c r="B225" s="25"/>
      <c r="C225" s="25"/>
      <c r="D225" s="25"/>
      <c r="E225" s="25"/>
      <c r="F225" s="25"/>
      <c r="G225" s="25"/>
      <c r="H225" s="25"/>
      <c r="I225" s="25"/>
      <c r="J225" s="25"/>
      <c r="K225" s="25"/>
      <c r="L225" s="25"/>
      <c r="M225" s="25"/>
      <c r="N225" s="25"/>
      <c r="O225" s="25"/>
      <c r="P225" s="25"/>
      <c r="Q225" s="25"/>
      <c r="R225" s="25"/>
      <c r="S225" s="25"/>
    </row>
    <row r="226" spans="2:19" x14ac:dyDescent="0.3">
      <c r="B226" s="25"/>
      <c r="C226" s="25"/>
      <c r="D226" s="25"/>
      <c r="E226" s="25"/>
      <c r="F226" s="25"/>
      <c r="G226" s="25"/>
      <c r="H226" s="25"/>
      <c r="I226" s="25"/>
      <c r="J226" s="25"/>
      <c r="K226" s="25"/>
      <c r="L226" s="25"/>
      <c r="M226" s="25"/>
      <c r="N226" s="25"/>
      <c r="O226" s="25"/>
      <c r="P226" s="25"/>
      <c r="Q226" s="25"/>
      <c r="R226" s="25"/>
      <c r="S226" s="25"/>
    </row>
    <row r="227" spans="2:19" x14ac:dyDescent="0.3">
      <c r="B227" s="25"/>
      <c r="C227" s="25"/>
      <c r="D227" s="25"/>
      <c r="E227" s="25"/>
      <c r="F227" s="25"/>
      <c r="G227" s="25"/>
      <c r="H227" s="25"/>
      <c r="I227" s="25"/>
      <c r="J227" s="25"/>
      <c r="K227" s="25"/>
      <c r="L227" s="25"/>
      <c r="M227" s="25"/>
      <c r="N227" s="25"/>
      <c r="O227" s="25"/>
      <c r="P227" s="25"/>
      <c r="Q227" s="25"/>
      <c r="R227" s="25"/>
      <c r="S227" s="25"/>
    </row>
    <row r="228" spans="2:19" x14ac:dyDescent="0.3">
      <c r="B228" s="25"/>
      <c r="C228" s="25"/>
      <c r="D228" s="25"/>
      <c r="E228" s="25"/>
      <c r="F228" s="25"/>
      <c r="G228" s="25"/>
      <c r="H228" s="25"/>
      <c r="I228" s="25"/>
      <c r="J228" s="25"/>
      <c r="K228" s="25"/>
      <c r="L228" s="25"/>
      <c r="M228" s="25"/>
      <c r="N228" s="25"/>
      <c r="O228" s="25"/>
      <c r="P228" s="25"/>
      <c r="Q228" s="25"/>
      <c r="R228" s="25"/>
      <c r="S228" s="25"/>
    </row>
    <row r="229" spans="2:19" x14ac:dyDescent="0.3">
      <c r="B229" s="25"/>
      <c r="C229" s="25"/>
      <c r="D229" s="25"/>
      <c r="E229" s="25"/>
      <c r="F229" s="25"/>
      <c r="G229" s="25"/>
      <c r="H229" s="25"/>
      <c r="I229" s="25"/>
      <c r="J229" s="25"/>
      <c r="K229" s="25"/>
      <c r="L229" s="25"/>
      <c r="M229" s="25"/>
      <c r="N229" s="25"/>
      <c r="O229" s="25"/>
      <c r="P229" s="25"/>
      <c r="Q229" s="25"/>
      <c r="R229" s="25"/>
      <c r="S229" s="25"/>
    </row>
    <row r="230" spans="2:19" x14ac:dyDescent="0.3">
      <c r="B230" s="25"/>
      <c r="C230" s="25"/>
      <c r="D230" s="25"/>
      <c r="E230" s="25"/>
      <c r="F230" s="25"/>
      <c r="G230" s="25"/>
      <c r="H230" s="25"/>
      <c r="I230" s="25"/>
      <c r="J230" s="25"/>
      <c r="K230" s="25"/>
      <c r="L230" s="25"/>
      <c r="M230" s="25"/>
      <c r="N230" s="25"/>
      <c r="O230" s="25"/>
      <c r="P230" s="25"/>
      <c r="Q230" s="25"/>
      <c r="R230" s="25"/>
      <c r="S230" s="25"/>
    </row>
    <row r="231" spans="2:19" x14ac:dyDescent="0.3">
      <c r="B231" s="25"/>
      <c r="C231" s="25"/>
      <c r="D231" s="25"/>
      <c r="E231" s="25"/>
      <c r="F231" s="25"/>
      <c r="G231" s="25"/>
      <c r="H231" s="25"/>
      <c r="I231" s="25"/>
      <c r="J231" s="25"/>
      <c r="K231" s="25"/>
      <c r="L231" s="25"/>
      <c r="M231" s="25"/>
      <c r="N231" s="25"/>
      <c r="O231" s="25"/>
      <c r="P231" s="25"/>
      <c r="Q231" s="25"/>
      <c r="R231" s="25"/>
      <c r="S231" s="25"/>
    </row>
    <row r="232" spans="2:19" x14ac:dyDescent="0.3">
      <c r="B232" s="25"/>
      <c r="C232" s="25"/>
      <c r="D232" s="25"/>
      <c r="E232" s="25"/>
      <c r="F232" s="25"/>
      <c r="G232" s="25"/>
      <c r="H232" s="25"/>
      <c r="I232" s="25"/>
      <c r="J232" s="25"/>
      <c r="K232" s="25"/>
      <c r="L232" s="25"/>
      <c r="M232" s="25"/>
      <c r="N232" s="25"/>
      <c r="O232" s="25"/>
      <c r="P232" s="25"/>
      <c r="Q232" s="25"/>
      <c r="R232" s="25"/>
      <c r="S232" s="25"/>
    </row>
    <row r="233" spans="2:19" x14ac:dyDescent="0.3">
      <c r="B233" s="25"/>
      <c r="C233" s="25"/>
      <c r="D233" s="25"/>
      <c r="E233" s="25"/>
      <c r="F233" s="25"/>
      <c r="G233" s="25"/>
      <c r="H233" s="25"/>
      <c r="I233" s="25"/>
      <c r="J233" s="25"/>
      <c r="K233" s="25"/>
      <c r="L233" s="25"/>
      <c r="M233" s="25"/>
      <c r="N233" s="25"/>
      <c r="O233" s="25"/>
      <c r="P233" s="25"/>
      <c r="Q233" s="25"/>
      <c r="R233" s="25"/>
      <c r="S233" s="25"/>
    </row>
    <row r="234" spans="2:19" x14ac:dyDescent="0.3">
      <c r="B234" s="25"/>
      <c r="C234" s="25"/>
      <c r="D234" s="25"/>
      <c r="E234" s="25"/>
      <c r="F234" s="25"/>
      <c r="G234" s="25"/>
      <c r="H234" s="25"/>
      <c r="I234" s="25"/>
      <c r="J234" s="25"/>
      <c r="K234" s="25"/>
      <c r="L234" s="25"/>
      <c r="M234" s="25"/>
      <c r="N234" s="25"/>
      <c r="O234" s="25"/>
      <c r="P234" s="25"/>
      <c r="Q234" s="25"/>
      <c r="R234" s="25"/>
      <c r="S234" s="25"/>
    </row>
    <row r="235" spans="2:19" x14ac:dyDescent="0.3">
      <c r="B235" s="25"/>
      <c r="C235" s="25"/>
      <c r="D235" s="25"/>
      <c r="E235" s="25"/>
      <c r="F235" s="25"/>
      <c r="G235" s="25"/>
      <c r="H235" s="25"/>
      <c r="I235" s="25"/>
      <c r="J235" s="25"/>
      <c r="K235" s="25"/>
      <c r="L235" s="25"/>
      <c r="M235" s="25"/>
      <c r="N235" s="25"/>
      <c r="O235" s="25"/>
      <c r="P235" s="25"/>
      <c r="Q235" s="25"/>
      <c r="R235" s="25"/>
      <c r="S235" s="25"/>
    </row>
    <row r="236" spans="2:19" x14ac:dyDescent="0.3">
      <c r="B236" s="25"/>
      <c r="C236" s="25"/>
      <c r="D236" s="25"/>
      <c r="E236" s="25"/>
      <c r="F236" s="25"/>
      <c r="G236" s="25"/>
      <c r="H236" s="25"/>
      <c r="I236" s="25"/>
      <c r="J236" s="25"/>
      <c r="K236" s="25"/>
      <c r="L236" s="25"/>
      <c r="M236" s="25"/>
      <c r="N236" s="25"/>
      <c r="O236" s="25"/>
      <c r="P236" s="25"/>
      <c r="Q236" s="25"/>
      <c r="R236" s="25"/>
      <c r="S236" s="25"/>
    </row>
    <row r="237" spans="2:19" x14ac:dyDescent="0.3">
      <c r="B237" s="25"/>
      <c r="C237" s="25"/>
      <c r="D237" s="25"/>
      <c r="E237" s="25"/>
      <c r="F237" s="25"/>
      <c r="G237" s="25"/>
      <c r="H237" s="25"/>
      <c r="I237" s="25"/>
      <c r="J237" s="25"/>
      <c r="K237" s="25"/>
      <c r="L237" s="25"/>
      <c r="M237" s="25"/>
      <c r="N237" s="25"/>
      <c r="O237" s="25"/>
      <c r="P237" s="25"/>
      <c r="Q237" s="25"/>
      <c r="R237" s="25"/>
      <c r="S237" s="25"/>
    </row>
    <row r="238" spans="2:19" x14ac:dyDescent="0.3">
      <c r="B238" s="25"/>
      <c r="C238" s="25"/>
      <c r="D238" s="25"/>
      <c r="E238" s="25"/>
      <c r="F238" s="25"/>
      <c r="G238" s="25"/>
      <c r="H238" s="25"/>
      <c r="I238" s="25"/>
      <c r="J238" s="25"/>
      <c r="K238" s="25"/>
      <c r="L238" s="25"/>
      <c r="M238" s="25"/>
      <c r="N238" s="25"/>
      <c r="O238" s="25"/>
      <c r="P238" s="25"/>
      <c r="Q238" s="25"/>
      <c r="R238" s="25"/>
      <c r="S238" s="25"/>
    </row>
    <row r="239" spans="2:19" x14ac:dyDescent="0.3">
      <c r="B239" s="25"/>
      <c r="C239" s="25"/>
      <c r="D239" s="25"/>
      <c r="E239" s="25"/>
      <c r="F239" s="25"/>
      <c r="G239" s="25"/>
      <c r="H239" s="25"/>
      <c r="I239" s="25"/>
      <c r="J239" s="25"/>
      <c r="K239" s="25"/>
      <c r="L239" s="25"/>
      <c r="M239" s="25"/>
      <c r="N239" s="25"/>
      <c r="O239" s="25"/>
      <c r="P239" s="25"/>
      <c r="Q239" s="25"/>
      <c r="R239" s="25"/>
      <c r="S239" s="25"/>
    </row>
    <row r="240" spans="2:19" x14ac:dyDescent="0.3">
      <c r="B240" s="25"/>
      <c r="C240" s="25"/>
      <c r="D240" s="25"/>
      <c r="E240" s="25"/>
      <c r="F240" s="25"/>
      <c r="G240" s="25"/>
      <c r="H240" s="25"/>
      <c r="I240" s="25"/>
      <c r="J240" s="25"/>
      <c r="K240" s="25"/>
      <c r="L240" s="25"/>
      <c r="M240" s="25"/>
      <c r="N240" s="25"/>
      <c r="O240" s="25"/>
      <c r="P240" s="25"/>
      <c r="Q240" s="25"/>
      <c r="R240" s="25"/>
      <c r="S240" s="25"/>
    </row>
    <row r="241" spans="2:19" x14ac:dyDescent="0.3">
      <c r="B241" s="25"/>
      <c r="C241" s="25"/>
      <c r="D241" s="25"/>
      <c r="E241" s="25"/>
      <c r="F241" s="25"/>
      <c r="G241" s="25"/>
      <c r="H241" s="25"/>
      <c r="I241" s="25"/>
      <c r="J241" s="25"/>
      <c r="K241" s="25"/>
      <c r="L241" s="25"/>
      <c r="M241" s="25"/>
      <c r="N241" s="25"/>
      <c r="O241" s="25"/>
      <c r="P241" s="25"/>
      <c r="Q241" s="25"/>
      <c r="R241" s="25"/>
      <c r="S241" s="25"/>
    </row>
    <row r="242" spans="2:19" x14ac:dyDescent="0.3">
      <c r="B242" s="25"/>
      <c r="C242" s="25"/>
      <c r="D242" s="25"/>
      <c r="E242" s="25"/>
      <c r="F242" s="25"/>
      <c r="G242" s="25"/>
      <c r="H242" s="25"/>
      <c r="I242" s="25"/>
      <c r="J242" s="25"/>
      <c r="K242" s="25"/>
      <c r="L242" s="25"/>
      <c r="M242" s="25"/>
      <c r="N242" s="25"/>
      <c r="O242" s="25"/>
      <c r="P242" s="25"/>
      <c r="Q242" s="25"/>
      <c r="R242" s="25"/>
      <c r="S242" s="25"/>
    </row>
    <row r="243" spans="2:19" x14ac:dyDescent="0.3">
      <c r="B243" s="25"/>
      <c r="C243" s="25"/>
      <c r="D243" s="25"/>
      <c r="E243" s="25"/>
      <c r="F243" s="25"/>
      <c r="G243" s="25"/>
      <c r="H243" s="25"/>
      <c r="I243" s="25"/>
      <c r="J243" s="25"/>
      <c r="K243" s="25"/>
      <c r="L243" s="25"/>
      <c r="M243" s="25"/>
      <c r="N243" s="25"/>
      <c r="O243" s="25"/>
      <c r="P243" s="25"/>
      <c r="Q243" s="25"/>
      <c r="R243" s="25"/>
      <c r="S243" s="25"/>
    </row>
    <row r="244" spans="2:19" x14ac:dyDescent="0.3">
      <c r="B244" s="25"/>
      <c r="C244" s="25"/>
      <c r="D244" s="25"/>
      <c r="E244" s="25"/>
      <c r="F244" s="25"/>
      <c r="G244" s="25"/>
      <c r="H244" s="25"/>
      <c r="I244" s="25"/>
      <c r="J244" s="25"/>
      <c r="K244" s="25"/>
      <c r="L244" s="25"/>
      <c r="M244" s="25"/>
      <c r="N244" s="25"/>
      <c r="O244" s="25"/>
      <c r="P244" s="25"/>
      <c r="Q244" s="25"/>
      <c r="R244" s="25"/>
      <c r="S244" s="25"/>
    </row>
    <row r="245" spans="2:19" x14ac:dyDescent="0.3">
      <c r="B245" s="25"/>
      <c r="C245" s="25"/>
      <c r="D245" s="25"/>
      <c r="E245" s="25"/>
      <c r="F245" s="25"/>
      <c r="G245" s="25"/>
      <c r="H245" s="25"/>
      <c r="I245" s="25"/>
      <c r="J245" s="25"/>
      <c r="K245" s="25"/>
      <c r="L245" s="25"/>
      <c r="M245" s="25"/>
      <c r="N245" s="25"/>
      <c r="O245" s="25"/>
      <c r="P245" s="25"/>
      <c r="Q245" s="25"/>
      <c r="R245" s="25"/>
      <c r="S245" s="25"/>
    </row>
    <row r="246" spans="2:19" x14ac:dyDescent="0.3">
      <c r="B246" s="25"/>
      <c r="C246" s="25"/>
      <c r="D246" s="25"/>
      <c r="E246" s="25"/>
      <c r="F246" s="25"/>
      <c r="G246" s="25"/>
      <c r="H246" s="25"/>
      <c r="I246" s="25"/>
      <c r="J246" s="25"/>
      <c r="K246" s="25"/>
      <c r="L246" s="25"/>
      <c r="M246" s="25"/>
      <c r="N246" s="25"/>
      <c r="O246" s="25"/>
      <c r="P246" s="25"/>
      <c r="Q246" s="25"/>
      <c r="R246" s="25"/>
      <c r="S246" s="25"/>
    </row>
    <row r="247" spans="2:19" x14ac:dyDescent="0.3">
      <c r="B247" s="25"/>
      <c r="C247" s="25"/>
      <c r="D247" s="25"/>
      <c r="E247" s="25"/>
      <c r="F247" s="25"/>
      <c r="G247" s="25"/>
      <c r="H247" s="25"/>
      <c r="I247" s="25"/>
      <c r="J247" s="25"/>
      <c r="K247" s="25"/>
      <c r="L247" s="25"/>
      <c r="M247" s="25"/>
      <c r="N247" s="25"/>
      <c r="O247" s="25"/>
      <c r="P247" s="25"/>
      <c r="Q247" s="25"/>
      <c r="R247" s="25"/>
      <c r="S247" s="25"/>
    </row>
  </sheetData>
  <mergeCells count="1">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indexed="48"/>
    <outlinePr applyStyles="1" summaryBelow="0"/>
    <pageSetUpPr fitToPage="1"/>
  </sheetPr>
  <dimension ref="A2:S247"/>
  <sheetViews>
    <sheetView workbookViewId="0">
      <selection activeCell="A7" sqref="A7"/>
    </sheetView>
  </sheetViews>
  <sheetFormatPr defaultColWidth="9.1796875" defaultRowHeight="13" outlineLevelRow="1" x14ac:dyDescent="0.3"/>
  <cols>
    <col min="1" max="1" width="77.26953125" style="21" bestFit="1" customWidth="1"/>
    <col min="2" max="2" width="20" style="21" customWidth="1"/>
    <col min="3" max="3" width="20.81640625" style="21" customWidth="1"/>
    <col min="4" max="4" width="11.453125" style="21" bestFit="1" customWidth="1"/>
    <col min="5" max="5" width="9.1796875" style="21" customWidth="1"/>
    <col min="6" max="16384" width="9.1796875" style="21"/>
  </cols>
  <sheetData>
    <row r="2" spans="1:19" ht="54.75" customHeight="1" x14ac:dyDescent="0.45">
      <c r="A2" s="279" t="str">
        <f>DEBT_AS_OF_DATE&amp;"
"&amp;BY_INTEREST_RATE</f>
        <v>Державний та гарантований державою борг України
станом на 31.12.2024
(за видами відсоткових ставок)</v>
      </c>
      <c r="B2" s="280"/>
      <c r="C2" s="280"/>
      <c r="D2" s="280"/>
      <c r="E2" s="58"/>
      <c r="F2" s="58"/>
      <c r="G2" s="58"/>
      <c r="H2" s="58"/>
      <c r="I2" s="58"/>
      <c r="J2" s="58"/>
      <c r="K2" s="58"/>
      <c r="L2" s="58"/>
      <c r="M2" s="58"/>
      <c r="N2" s="58"/>
      <c r="O2" s="58"/>
      <c r="P2" s="58"/>
      <c r="Q2" s="58"/>
      <c r="R2" s="58"/>
      <c r="S2" s="58"/>
    </row>
    <row r="3" spans="1:19" x14ac:dyDescent="0.3">
      <c r="A3" s="281"/>
      <c r="B3" s="281"/>
      <c r="C3" s="281"/>
      <c r="D3" s="281"/>
    </row>
    <row r="4" spans="1:19" s="26" customFormat="1" x14ac:dyDescent="0.3">
      <c r="D4" s="26" t="str">
        <f>VALVAL</f>
        <v>млрд. одиниць</v>
      </c>
    </row>
    <row r="5" spans="1:19" s="13" customFormat="1" x14ac:dyDescent="0.25">
      <c r="A5" s="11"/>
      <c r="B5" s="142" t="str">
        <f>USD</f>
        <v>дол.США</v>
      </c>
      <c r="C5" s="142" t="str">
        <f>UAH</f>
        <v>грн.</v>
      </c>
      <c r="D5" s="56" t="s">
        <v>0</v>
      </c>
    </row>
    <row r="6" spans="1:19" s="129" customFormat="1" ht="15.5" x14ac:dyDescent="0.25">
      <c r="A6" s="141" t="str">
        <f>DEBT_TOTAL</f>
        <v>Загальна сума державного та гарантованого державою боргу</v>
      </c>
      <c r="B6" s="127">
        <f>SUM(B$7+ B$8)</f>
        <v>166.05851744312</v>
      </c>
      <c r="C6" s="127">
        <f>SUM(C$7+ C$8)</f>
        <v>6980.93401478539</v>
      </c>
      <c r="D6" s="128">
        <f>SUM(D$7+ D$8)</f>
        <v>1</v>
      </c>
    </row>
    <row r="7" spans="1:19" s="37" customFormat="1" ht="14" outlineLevel="1" x14ac:dyDescent="0.25">
      <c r="A7" s="237" t="s">
        <v>179</v>
      </c>
      <c r="B7" s="238">
        <v>58.096926138320001</v>
      </c>
      <c r="C7" s="238">
        <v>2442.33667792708</v>
      </c>
      <c r="D7" s="239">
        <v>0.349858</v>
      </c>
    </row>
    <row r="8" spans="1:19" s="37" customFormat="1" ht="14" outlineLevel="1" x14ac:dyDescent="0.25">
      <c r="A8" s="237" t="s">
        <v>180</v>
      </c>
      <c r="B8" s="238">
        <v>107.9615913048</v>
      </c>
      <c r="C8" s="238">
        <v>4538.59733685831</v>
      </c>
      <c r="D8" s="239">
        <v>0.650142</v>
      </c>
    </row>
    <row r="9" spans="1:19" x14ac:dyDescent="0.3">
      <c r="B9" s="24"/>
      <c r="C9" s="24"/>
      <c r="D9" s="24"/>
      <c r="E9" s="25"/>
      <c r="F9" s="25"/>
      <c r="G9" s="25"/>
      <c r="H9" s="25"/>
      <c r="I9" s="25"/>
      <c r="J9" s="25"/>
      <c r="K9" s="25"/>
      <c r="L9" s="25"/>
      <c r="M9" s="25"/>
      <c r="N9" s="25"/>
      <c r="O9" s="25"/>
      <c r="P9" s="25"/>
      <c r="Q9" s="25"/>
    </row>
    <row r="10" spans="1:19" x14ac:dyDescent="0.3">
      <c r="B10" s="24"/>
      <c r="C10" s="24"/>
      <c r="D10" s="24"/>
      <c r="E10" s="25"/>
      <c r="F10" s="25"/>
      <c r="G10" s="25"/>
      <c r="H10" s="25"/>
      <c r="I10" s="25"/>
      <c r="J10" s="25"/>
      <c r="K10" s="25"/>
      <c r="L10" s="25"/>
      <c r="M10" s="25"/>
      <c r="N10" s="25"/>
      <c r="O10" s="25"/>
      <c r="P10" s="25"/>
      <c r="Q10" s="25"/>
    </row>
    <row r="11" spans="1:19" x14ac:dyDescent="0.3">
      <c r="B11" s="24"/>
      <c r="C11" s="24"/>
      <c r="D11" s="24"/>
      <c r="E11" s="25"/>
      <c r="F11" s="25"/>
      <c r="G11" s="25"/>
      <c r="H11" s="25"/>
      <c r="I11" s="25"/>
      <c r="J11" s="25"/>
      <c r="K11" s="25"/>
      <c r="L11" s="25"/>
      <c r="M11" s="25"/>
      <c r="N11" s="25"/>
      <c r="O11" s="25"/>
      <c r="P11" s="25"/>
      <c r="Q11" s="25"/>
    </row>
    <row r="12" spans="1:19" x14ac:dyDescent="0.3">
      <c r="B12" s="25"/>
      <c r="C12" s="25"/>
      <c r="D12" s="25"/>
      <c r="E12" s="25"/>
      <c r="F12" s="25"/>
      <c r="G12" s="25"/>
      <c r="H12" s="25"/>
      <c r="I12" s="25"/>
      <c r="J12" s="25"/>
      <c r="K12" s="25"/>
      <c r="L12" s="25"/>
      <c r="M12" s="25"/>
      <c r="N12" s="25"/>
      <c r="O12" s="25"/>
      <c r="P12" s="25"/>
      <c r="Q12" s="25"/>
    </row>
    <row r="13" spans="1:19" x14ac:dyDescent="0.3">
      <c r="B13" s="25"/>
      <c r="C13" s="25"/>
      <c r="D13" s="25"/>
      <c r="E13" s="25"/>
      <c r="F13" s="25"/>
      <c r="G13" s="25"/>
      <c r="H13" s="25"/>
      <c r="I13" s="25"/>
      <c r="J13" s="25"/>
      <c r="K13" s="25"/>
      <c r="L13" s="25"/>
      <c r="M13" s="25"/>
      <c r="N13" s="25"/>
      <c r="O13" s="25"/>
      <c r="P13" s="25"/>
      <c r="Q13" s="25"/>
    </row>
    <row r="14" spans="1:19" x14ac:dyDescent="0.3">
      <c r="B14" s="25"/>
      <c r="C14" s="25"/>
      <c r="D14" s="25"/>
      <c r="E14" s="25"/>
      <c r="F14" s="25"/>
      <c r="G14" s="25"/>
      <c r="H14" s="25"/>
      <c r="I14" s="25"/>
      <c r="J14" s="25"/>
      <c r="K14" s="25"/>
      <c r="L14" s="25"/>
      <c r="M14" s="25"/>
      <c r="N14" s="25"/>
      <c r="O14" s="25"/>
      <c r="P14" s="25"/>
      <c r="Q14" s="25"/>
    </row>
    <row r="15" spans="1:19" x14ac:dyDescent="0.3">
      <c r="B15" s="25"/>
      <c r="C15" s="25"/>
      <c r="D15" s="25"/>
      <c r="E15" s="25"/>
      <c r="F15" s="25"/>
      <c r="G15" s="25"/>
      <c r="H15" s="25"/>
      <c r="I15" s="25"/>
      <c r="J15" s="25"/>
      <c r="K15" s="25"/>
      <c r="L15" s="25"/>
      <c r="M15" s="25"/>
      <c r="N15" s="25"/>
      <c r="O15" s="25"/>
      <c r="P15" s="25"/>
      <c r="Q15" s="25"/>
    </row>
    <row r="16" spans="1:19" x14ac:dyDescent="0.3">
      <c r="B16" s="25"/>
      <c r="C16" s="25"/>
      <c r="D16" s="25"/>
      <c r="E16" s="25"/>
      <c r="F16" s="25"/>
      <c r="G16" s="25"/>
      <c r="H16" s="25"/>
      <c r="I16" s="25"/>
      <c r="J16" s="25"/>
      <c r="K16" s="25"/>
      <c r="L16" s="25"/>
      <c r="M16" s="25"/>
      <c r="N16" s="25"/>
      <c r="O16" s="25"/>
      <c r="P16" s="25"/>
      <c r="Q16" s="25"/>
    </row>
    <row r="17" spans="2:17" x14ac:dyDescent="0.3">
      <c r="B17" s="25"/>
      <c r="C17" s="25"/>
      <c r="D17" s="25"/>
      <c r="E17" s="25"/>
      <c r="F17" s="25"/>
      <c r="G17" s="25"/>
      <c r="H17" s="25"/>
      <c r="I17" s="25"/>
      <c r="J17" s="25"/>
      <c r="K17" s="25"/>
      <c r="L17" s="25"/>
      <c r="M17" s="25"/>
      <c r="N17" s="25"/>
      <c r="O17" s="25"/>
      <c r="P17" s="25"/>
      <c r="Q17" s="25"/>
    </row>
    <row r="18" spans="2:17" x14ac:dyDescent="0.3">
      <c r="B18" s="25"/>
      <c r="C18" s="25"/>
      <c r="D18" s="25"/>
      <c r="E18" s="25"/>
      <c r="F18" s="25"/>
      <c r="G18" s="25"/>
      <c r="H18" s="25"/>
      <c r="I18" s="25"/>
      <c r="J18" s="25"/>
      <c r="K18" s="25"/>
      <c r="L18" s="25"/>
      <c r="M18" s="25"/>
      <c r="N18" s="25"/>
      <c r="O18" s="25"/>
      <c r="P18" s="25"/>
      <c r="Q18" s="25"/>
    </row>
    <row r="19" spans="2:17" x14ac:dyDescent="0.3">
      <c r="B19" s="25"/>
      <c r="C19" s="25"/>
      <c r="D19" s="25"/>
      <c r="E19" s="25"/>
      <c r="F19" s="25"/>
      <c r="G19" s="25"/>
      <c r="H19" s="25"/>
      <c r="I19" s="25"/>
      <c r="J19" s="25"/>
      <c r="K19" s="25"/>
      <c r="L19" s="25"/>
      <c r="M19" s="25"/>
      <c r="N19" s="25"/>
      <c r="O19" s="25"/>
      <c r="P19" s="25"/>
      <c r="Q19" s="25"/>
    </row>
    <row r="20" spans="2:17" x14ac:dyDescent="0.3">
      <c r="B20" s="25"/>
      <c r="C20" s="25"/>
      <c r="D20" s="25"/>
      <c r="E20" s="25"/>
      <c r="F20" s="25"/>
      <c r="G20" s="25"/>
      <c r="H20" s="25"/>
      <c r="I20" s="25"/>
      <c r="J20" s="25"/>
      <c r="K20" s="25"/>
      <c r="L20" s="25"/>
      <c r="M20" s="25"/>
      <c r="N20" s="25"/>
      <c r="O20" s="25"/>
      <c r="P20" s="25"/>
      <c r="Q20" s="25"/>
    </row>
    <row r="21" spans="2:17" x14ac:dyDescent="0.3">
      <c r="B21" s="25"/>
      <c r="C21" s="25"/>
      <c r="D21" s="25"/>
      <c r="E21" s="25"/>
      <c r="F21" s="25"/>
      <c r="G21" s="25"/>
      <c r="H21" s="25"/>
      <c r="I21" s="25"/>
      <c r="J21" s="25"/>
      <c r="K21" s="25"/>
      <c r="L21" s="25"/>
      <c r="M21" s="25"/>
      <c r="N21" s="25"/>
      <c r="O21" s="25"/>
      <c r="P21" s="25"/>
      <c r="Q21" s="25"/>
    </row>
    <row r="22" spans="2:17" x14ac:dyDescent="0.3">
      <c r="B22" s="25"/>
      <c r="C22" s="25"/>
      <c r="D22" s="25"/>
      <c r="E22" s="25"/>
      <c r="F22" s="25"/>
      <c r="G22" s="25"/>
      <c r="H22" s="25"/>
      <c r="I22" s="25"/>
      <c r="J22" s="25"/>
      <c r="K22" s="25"/>
      <c r="L22" s="25"/>
      <c r="M22" s="25"/>
      <c r="N22" s="25"/>
      <c r="O22" s="25"/>
      <c r="P22" s="25"/>
      <c r="Q22" s="25"/>
    </row>
    <row r="23" spans="2:17" x14ac:dyDescent="0.3">
      <c r="B23" s="25"/>
      <c r="C23" s="25"/>
      <c r="D23" s="25"/>
      <c r="E23" s="25"/>
      <c r="F23" s="25"/>
      <c r="G23" s="25"/>
      <c r="H23" s="25"/>
      <c r="I23" s="25"/>
      <c r="J23" s="25"/>
      <c r="K23" s="25"/>
      <c r="L23" s="25"/>
      <c r="M23" s="25"/>
      <c r="N23" s="25"/>
      <c r="O23" s="25"/>
      <c r="P23" s="25"/>
      <c r="Q23" s="25"/>
    </row>
    <row r="24" spans="2:17" x14ac:dyDescent="0.3">
      <c r="B24" s="25"/>
      <c r="C24" s="25"/>
      <c r="D24" s="25"/>
      <c r="E24" s="25"/>
      <c r="F24" s="25"/>
      <c r="G24" s="25"/>
      <c r="H24" s="25"/>
      <c r="I24" s="25"/>
      <c r="J24" s="25"/>
      <c r="K24" s="25"/>
      <c r="L24" s="25"/>
      <c r="M24" s="25"/>
      <c r="N24" s="25"/>
      <c r="O24" s="25"/>
      <c r="P24" s="25"/>
      <c r="Q24" s="25"/>
    </row>
    <row r="25" spans="2:17" x14ac:dyDescent="0.3">
      <c r="B25" s="25"/>
      <c r="C25" s="25"/>
      <c r="D25" s="25"/>
      <c r="E25" s="25"/>
      <c r="F25" s="25"/>
      <c r="G25" s="25"/>
      <c r="H25" s="25"/>
      <c r="I25" s="25"/>
      <c r="J25" s="25"/>
      <c r="K25" s="25"/>
      <c r="L25" s="25"/>
      <c r="M25" s="25"/>
      <c r="N25" s="25"/>
      <c r="O25" s="25"/>
      <c r="P25" s="25"/>
      <c r="Q25" s="25"/>
    </row>
    <row r="26" spans="2:17" x14ac:dyDescent="0.3">
      <c r="B26" s="25"/>
      <c r="C26" s="25"/>
      <c r="D26" s="25"/>
      <c r="E26" s="25"/>
      <c r="F26" s="25"/>
      <c r="G26" s="25"/>
      <c r="H26" s="25"/>
      <c r="I26" s="25"/>
      <c r="J26" s="25"/>
      <c r="K26" s="25"/>
      <c r="L26" s="25"/>
      <c r="M26" s="25"/>
      <c r="N26" s="25"/>
      <c r="O26" s="25"/>
      <c r="P26" s="25"/>
      <c r="Q26" s="25"/>
    </row>
    <row r="27" spans="2:17" x14ac:dyDescent="0.3">
      <c r="B27" s="25"/>
      <c r="C27" s="25"/>
      <c r="D27" s="25"/>
      <c r="E27" s="25"/>
      <c r="F27" s="25"/>
      <c r="G27" s="25"/>
      <c r="H27" s="25"/>
      <c r="I27" s="25"/>
      <c r="J27" s="25"/>
      <c r="K27" s="25"/>
      <c r="L27" s="25"/>
      <c r="M27" s="25"/>
      <c r="N27" s="25"/>
      <c r="O27" s="25"/>
      <c r="P27" s="25"/>
      <c r="Q27" s="25"/>
    </row>
    <row r="28" spans="2:17" x14ac:dyDescent="0.3">
      <c r="B28" s="25"/>
      <c r="C28" s="25"/>
      <c r="D28" s="25"/>
      <c r="E28" s="25"/>
      <c r="F28" s="25"/>
      <c r="G28" s="25"/>
      <c r="H28" s="25"/>
      <c r="I28" s="25"/>
      <c r="J28" s="25"/>
      <c r="K28" s="25"/>
      <c r="L28" s="25"/>
      <c r="M28" s="25"/>
      <c r="N28" s="25"/>
      <c r="O28" s="25"/>
      <c r="P28" s="25"/>
      <c r="Q28" s="25"/>
    </row>
    <row r="29" spans="2:17" x14ac:dyDescent="0.3">
      <c r="B29" s="25"/>
      <c r="C29" s="25"/>
      <c r="D29" s="25"/>
      <c r="E29" s="25"/>
      <c r="F29" s="25"/>
      <c r="G29" s="25"/>
      <c r="H29" s="25"/>
      <c r="I29" s="25"/>
      <c r="J29" s="25"/>
      <c r="K29" s="25"/>
      <c r="L29" s="25"/>
      <c r="M29" s="25"/>
      <c r="N29" s="25"/>
      <c r="O29" s="25"/>
      <c r="P29" s="25"/>
      <c r="Q29" s="25"/>
    </row>
    <row r="30" spans="2:17" x14ac:dyDescent="0.3">
      <c r="B30" s="25"/>
      <c r="C30" s="25"/>
      <c r="D30" s="25"/>
      <c r="E30" s="25"/>
      <c r="F30" s="25"/>
      <c r="G30" s="25"/>
      <c r="H30" s="25"/>
      <c r="I30" s="25"/>
      <c r="J30" s="25"/>
      <c r="K30" s="25"/>
      <c r="L30" s="25"/>
      <c r="M30" s="25"/>
      <c r="N30" s="25"/>
      <c r="O30" s="25"/>
      <c r="P30" s="25"/>
      <c r="Q30" s="25"/>
    </row>
    <row r="31" spans="2:17" x14ac:dyDescent="0.3">
      <c r="B31" s="25"/>
      <c r="C31" s="25"/>
      <c r="D31" s="25"/>
      <c r="E31" s="25"/>
      <c r="F31" s="25"/>
      <c r="G31" s="25"/>
      <c r="H31" s="25"/>
      <c r="I31" s="25"/>
      <c r="J31" s="25"/>
      <c r="K31" s="25"/>
      <c r="L31" s="25"/>
      <c r="M31" s="25"/>
      <c r="N31" s="25"/>
      <c r="O31" s="25"/>
      <c r="P31" s="25"/>
      <c r="Q31" s="25"/>
    </row>
    <row r="32" spans="2:17" x14ac:dyDescent="0.3">
      <c r="B32" s="25"/>
      <c r="C32" s="25"/>
      <c r="D32" s="25"/>
      <c r="E32" s="25"/>
      <c r="F32" s="25"/>
      <c r="G32" s="25"/>
      <c r="H32" s="25"/>
      <c r="I32" s="25"/>
      <c r="J32" s="25"/>
      <c r="K32" s="25"/>
      <c r="L32" s="25"/>
      <c r="M32" s="25"/>
      <c r="N32" s="25"/>
      <c r="O32" s="25"/>
      <c r="P32" s="25"/>
      <c r="Q32" s="25"/>
    </row>
    <row r="33" spans="2:17" x14ac:dyDescent="0.3">
      <c r="B33" s="25"/>
      <c r="C33" s="25"/>
      <c r="D33" s="25"/>
      <c r="E33" s="25"/>
      <c r="F33" s="25"/>
      <c r="G33" s="25"/>
      <c r="H33" s="25"/>
      <c r="I33" s="25"/>
      <c r="J33" s="25"/>
      <c r="K33" s="25"/>
      <c r="L33" s="25"/>
      <c r="M33" s="25"/>
      <c r="N33" s="25"/>
      <c r="O33" s="25"/>
      <c r="P33" s="25"/>
      <c r="Q33" s="25"/>
    </row>
    <row r="34" spans="2:17" x14ac:dyDescent="0.3">
      <c r="B34" s="25"/>
      <c r="C34" s="25"/>
      <c r="D34" s="25"/>
      <c r="E34" s="25"/>
      <c r="F34" s="25"/>
      <c r="G34" s="25"/>
      <c r="H34" s="25"/>
      <c r="I34" s="25"/>
      <c r="J34" s="25"/>
      <c r="K34" s="25"/>
      <c r="L34" s="25"/>
      <c r="M34" s="25"/>
      <c r="N34" s="25"/>
      <c r="O34" s="25"/>
      <c r="P34" s="25"/>
      <c r="Q34" s="25"/>
    </row>
    <row r="35" spans="2:17" x14ac:dyDescent="0.3">
      <c r="B35" s="25"/>
      <c r="C35" s="25"/>
      <c r="D35" s="25"/>
      <c r="E35" s="25"/>
      <c r="F35" s="25"/>
      <c r="G35" s="25"/>
      <c r="H35" s="25"/>
      <c r="I35" s="25"/>
      <c r="J35" s="25"/>
      <c r="K35" s="25"/>
      <c r="L35" s="25"/>
      <c r="M35" s="25"/>
      <c r="N35" s="25"/>
      <c r="O35" s="25"/>
      <c r="P35" s="25"/>
      <c r="Q35" s="25"/>
    </row>
    <row r="36" spans="2:17" x14ac:dyDescent="0.3">
      <c r="B36" s="25"/>
      <c r="C36" s="25"/>
      <c r="D36" s="25"/>
      <c r="E36" s="25"/>
      <c r="F36" s="25"/>
      <c r="G36" s="25"/>
      <c r="H36" s="25"/>
      <c r="I36" s="25"/>
      <c r="J36" s="25"/>
      <c r="K36" s="25"/>
      <c r="L36" s="25"/>
      <c r="M36" s="25"/>
      <c r="N36" s="25"/>
      <c r="O36" s="25"/>
      <c r="P36" s="25"/>
      <c r="Q36" s="25"/>
    </row>
    <row r="37" spans="2:17" x14ac:dyDescent="0.3">
      <c r="B37" s="25"/>
      <c r="C37" s="25"/>
      <c r="D37" s="25"/>
      <c r="E37" s="25"/>
      <c r="F37" s="25"/>
      <c r="G37" s="25"/>
      <c r="H37" s="25"/>
      <c r="I37" s="25"/>
      <c r="J37" s="25"/>
      <c r="K37" s="25"/>
      <c r="L37" s="25"/>
      <c r="M37" s="25"/>
      <c r="N37" s="25"/>
      <c r="O37" s="25"/>
      <c r="P37" s="25"/>
      <c r="Q37" s="25"/>
    </row>
    <row r="38" spans="2:17" x14ac:dyDescent="0.3">
      <c r="B38" s="25"/>
      <c r="C38" s="25"/>
      <c r="D38" s="25"/>
      <c r="E38" s="25"/>
      <c r="F38" s="25"/>
      <c r="G38" s="25"/>
      <c r="H38" s="25"/>
      <c r="I38" s="25"/>
      <c r="J38" s="25"/>
      <c r="K38" s="25"/>
      <c r="L38" s="25"/>
      <c r="M38" s="25"/>
      <c r="N38" s="25"/>
      <c r="O38" s="25"/>
      <c r="P38" s="25"/>
      <c r="Q38" s="25"/>
    </row>
    <row r="39" spans="2:17" x14ac:dyDescent="0.3">
      <c r="B39" s="25"/>
      <c r="C39" s="25"/>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tabColor indexed="48"/>
    <outlinePr applyStyles="1" summaryBelow="0"/>
    <pageSetUpPr fitToPage="1"/>
  </sheetPr>
  <dimension ref="A2:S248"/>
  <sheetViews>
    <sheetView workbookViewId="0">
      <selection activeCell="A11" sqref="A11"/>
    </sheetView>
  </sheetViews>
  <sheetFormatPr defaultColWidth="9.1796875" defaultRowHeight="13" outlineLevelRow="2" x14ac:dyDescent="0.3"/>
  <cols>
    <col min="1" max="1" width="75.54296875" style="21" bestFit="1" customWidth="1"/>
    <col min="2" max="2" width="18" style="21" customWidth="1"/>
    <col min="3" max="3" width="19.81640625" style="21" customWidth="1"/>
    <col min="4" max="4" width="11.453125" style="21" bestFit="1" customWidth="1"/>
    <col min="5" max="5" width="9.1796875" style="21" customWidth="1"/>
    <col min="6" max="16384" width="9.1796875" style="21"/>
  </cols>
  <sheetData>
    <row r="2" spans="1:19" ht="39" customHeight="1" x14ac:dyDescent="0.45">
      <c r="A2" s="279" t="str">
        <f>DEBT_AS_OF_DATE</f>
        <v>Державний та гарантований державою борг України
станом на 31.12.2024</v>
      </c>
      <c r="B2" s="280"/>
      <c r="C2" s="280"/>
      <c r="D2" s="280"/>
      <c r="E2" s="25"/>
      <c r="F2" s="25"/>
      <c r="G2" s="25"/>
      <c r="H2" s="25"/>
      <c r="I2" s="25"/>
      <c r="J2" s="25"/>
      <c r="K2" s="25"/>
      <c r="L2" s="25"/>
      <c r="M2" s="25"/>
      <c r="N2" s="25"/>
      <c r="O2" s="25"/>
      <c r="P2" s="25"/>
      <c r="Q2" s="25"/>
      <c r="R2" s="25"/>
      <c r="S2" s="25"/>
    </row>
    <row r="3" spans="1:19" ht="18.5" x14ac:dyDescent="0.45">
      <c r="A3" s="282" t="str">
        <f>BY_INTEREST_RATE</f>
        <v>(за видами відсоткових ставок)</v>
      </c>
      <c r="B3" s="282"/>
      <c r="C3" s="282"/>
      <c r="D3" s="282"/>
    </row>
    <row r="4" spans="1:19" x14ac:dyDescent="0.3">
      <c r="B4" s="25"/>
      <c r="C4" s="25"/>
      <c r="D4" s="25"/>
      <c r="E4" s="25"/>
      <c r="F4" s="25"/>
      <c r="G4" s="25"/>
      <c r="H4" s="25"/>
      <c r="I4" s="25"/>
      <c r="J4" s="25"/>
      <c r="K4" s="25"/>
      <c r="L4" s="25"/>
      <c r="M4" s="25"/>
      <c r="N4" s="25"/>
      <c r="O4" s="25"/>
      <c r="P4" s="25"/>
      <c r="Q4" s="25"/>
    </row>
    <row r="5" spans="1:19" s="26" customFormat="1" x14ac:dyDescent="0.3">
      <c r="D5" s="26" t="str">
        <f>VALVAL</f>
        <v>млрд. одиниць</v>
      </c>
    </row>
    <row r="6" spans="1:19" s="13" customFormat="1" x14ac:dyDescent="0.25">
      <c r="A6" s="59"/>
      <c r="B6" s="142" t="str">
        <f>USD</f>
        <v>дол.США</v>
      </c>
      <c r="C6" s="142" t="str">
        <f>UAH</f>
        <v>грн.</v>
      </c>
      <c r="D6" s="56" t="s">
        <v>0</v>
      </c>
    </row>
    <row r="7" spans="1:19" s="129" customFormat="1" ht="15.5" x14ac:dyDescent="0.25">
      <c r="A7" s="141" t="str">
        <f>DEBT_TOTAL</f>
        <v>Загальна сума державного та гарантованого державою боргу</v>
      </c>
      <c r="B7" s="118">
        <f>SUM(B$8+ B$9)</f>
        <v>166.05851744312</v>
      </c>
      <c r="C7" s="118">
        <f>SUM(C$8+ C$9)</f>
        <v>6980.93401478539</v>
      </c>
      <c r="D7" s="119">
        <f>SUM(D$8+ D$9)</f>
        <v>1</v>
      </c>
    </row>
    <row r="8" spans="1:19" s="37" customFormat="1" ht="14" x14ac:dyDescent="0.25">
      <c r="A8" s="63" t="str">
        <f>SRATE_M!A7</f>
        <v>Борг, по якому сплата відсотків здійснюється за плаваючими процентними ставками</v>
      </c>
      <c r="B8" s="64">
        <f>SRATE_M!B7</f>
        <v>58.096926138320001</v>
      </c>
      <c r="C8" s="64">
        <f>SRATE_M!C7</f>
        <v>2442.33667792708</v>
      </c>
      <c r="D8" s="65">
        <f>SRATE_M!D7</f>
        <v>0.349858</v>
      </c>
    </row>
    <row r="9" spans="1:19" s="37" customFormat="1" ht="14" x14ac:dyDescent="0.25">
      <c r="A9" s="63" t="str">
        <f>SRATE_M!A8</f>
        <v>Борг, по якому сплата відсотків здійснюється за фіксованими процентними ставками</v>
      </c>
      <c r="B9" s="64">
        <f>SRATE_M!B8</f>
        <v>107.9615913048</v>
      </c>
      <c r="C9" s="64">
        <f>SRATE_M!C8</f>
        <v>4538.59733685831</v>
      </c>
      <c r="D9" s="65">
        <f>SRATE_M!D8</f>
        <v>0.650142</v>
      </c>
    </row>
    <row r="10" spans="1:19" x14ac:dyDescent="0.3">
      <c r="B10" s="25"/>
      <c r="C10" s="25"/>
      <c r="D10" s="25"/>
      <c r="E10" s="25"/>
      <c r="F10" s="25"/>
      <c r="G10" s="25"/>
      <c r="H10" s="25"/>
      <c r="I10" s="25"/>
      <c r="J10" s="25"/>
      <c r="K10" s="25"/>
      <c r="L10" s="25"/>
      <c r="M10" s="25"/>
      <c r="N10" s="25"/>
      <c r="O10" s="25"/>
      <c r="P10" s="25"/>
      <c r="Q10" s="25"/>
    </row>
    <row r="11" spans="1:19" x14ac:dyDescent="0.3">
      <c r="A11" s="39" t="str">
        <f>INCLUDING</f>
        <v>В тому числі:</v>
      </c>
      <c r="B11" s="25"/>
      <c r="C11" s="25"/>
      <c r="D11" s="25"/>
      <c r="E11" s="25"/>
      <c r="F11" s="25"/>
      <c r="G11" s="25"/>
      <c r="H11" s="25"/>
      <c r="I11" s="25"/>
      <c r="J11" s="25"/>
      <c r="K11" s="25"/>
      <c r="L11" s="25"/>
      <c r="M11" s="25"/>
      <c r="N11" s="25"/>
      <c r="O11" s="25"/>
      <c r="P11" s="25"/>
      <c r="Q11" s="25"/>
    </row>
    <row r="12" spans="1:19" x14ac:dyDescent="0.3">
      <c r="B12" s="25"/>
      <c r="C12" s="25"/>
      <c r="D12" s="26" t="str">
        <f>VALVAL</f>
        <v>млрд. одиниць</v>
      </c>
      <c r="E12" s="25"/>
      <c r="F12" s="25"/>
      <c r="G12" s="25"/>
      <c r="H12" s="25"/>
      <c r="I12" s="25"/>
      <c r="J12" s="25"/>
      <c r="K12" s="25"/>
      <c r="L12" s="25"/>
      <c r="M12" s="25"/>
      <c r="N12" s="25"/>
      <c r="O12" s="25"/>
      <c r="P12" s="25"/>
      <c r="Q12" s="25"/>
    </row>
    <row r="13" spans="1:19" s="33" customFormat="1" x14ac:dyDescent="0.3">
      <c r="A13" s="11"/>
      <c r="B13" s="142" t="str">
        <f>USD</f>
        <v>дол.США</v>
      </c>
      <c r="C13" s="142" t="str">
        <f>UAH</f>
        <v>грн.</v>
      </c>
      <c r="D13" s="56" t="s">
        <v>0</v>
      </c>
      <c r="E13" s="13"/>
      <c r="F13" s="13"/>
      <c r="G13" s="13"/>
      <c r="H13" s="13"/>
      <c r="I13" s="13"/>
      <c r="J13" s="13"/>
      <c r="K13" s="13"/>
      <c r="L13" s="13"/>
      <c r="M13" s="13"/>
      <c r="N13" s="13"/>
      <c r="O13" s="13"/>
      <c r="P13" s="13"/>
      <c r="Q13" s="13"/>
      <c r="R13" s="13"/>
      <c r="S13" s="13"/>
    </row>
    <row r="14" spans="1:19" s="133" customFormat="1" ht="14.5" x14ac:dyDescent="0.35">
      <c r="A14" s="150" t="str">
        <f>DEBT_TOTAL</f>
        <v>Загальна сума державного та гарантованого державою боргу</v>
      </c>
      <c r="B14" s="130">
        <f>B$18+B$15</f>
        <v>166.05851744312</v>
      </c>
      <c r="C14" s="130">
        <f>C$18+C$15</f>
        <v>6980.93401478539</v>
      </c>
      <c r="D14" s="131">
        <f>D$18+D$15</f>
        <v>0.99999900000000008</v>
      </c>
      <c r="E14" s="132"/>
      <c r="F14" s="132"/>
      <c r="G14" s="132"/>
      <c r="H14" s="132"/>
      <c r="I14" s="132"/>
      <c r="J14" s="132"/>
      <c r="K14" s="132"/>
      <c r="L14" s="132"/>
      <c r="M14" s="132"/>
      <c r="N14" s="132"/>
      <c r="O14" s="132"/>
      <c r="P14" s="132"/>
      <c r="Q14" s="132"/>
    </row>
    <row r="15" spans="1:19" s="61" customFormat="1" ht="14.5" outlineLevel="1" x14ac:dyDescent="0.35">
      <c r="A15" s="241" t="s">
        <v>1</v>
      </c>
      <c r="B15" s="242">
        <f>SUM(B$16:B$17)</f>
        <v>159.19557804599</v>
      </c>
      <c r="C15" s="242">
        <f>SUM(C$16:C$17)</f>
        <v>6692.4229054677799</v>
      </c>
      <c r="D15" s="243">
        <f>SUM(D$16:D$17)</f>
        <v>0.95867100000000005</v>
      </c>
      <c r="E15" s="60"/>
      <c r="F15" s="60"/>
      <c r="G15" s="60"/>
      <c r="H15" s="60"/>
      <c r="I15" s="60"/>
      <c r="J15" s="60"/>
      <c r="K15" s="60"/>
      <c r="L15" s="60"/>
      <c r="M15" s="60"/>
      <c r="N15" s="60"/>
      <c r="O15" s="60"/>
      <c r="P15" s="60"/>
      <c r="Q15" s="60"/>
    </row>
    <row r="16" spans="1:19" s="39" customFormat="1" outlineLevel="2" x14ac:dyDescent="0.3">
      <c r="A16" s="244" t="s">
        <v>179</v>
      </c>
      <c r="B16" s="160">
        <v>53.528814117030002</v>
      </c>
      <c r="C16" s="160">
        <v>2250.2978166635999</v>
      </c>
      <c r="D16" s="163">
        <v>0.322349</v>
      </c>
      <c r="E16" s="38"/>
      <c r="F16" s="38"/>
      <c r="G16" s="38"/>
      <c r="H16" s="38"/>
      <c r="I16" s="38"/>
      <c r="J16" s="38"/>
      <c r="K16" s="38"/>
      <c r="L16" s="38"/>
      <c r="M16" s="38"/>
      <c r="N16" s="38"/>
      <c r="O16" s="38"/>
      <c r="P16" s="38"/>
      <c r="Q16" s="38"/>
    </row>
    <row r="17" spans="1:17" s="39" customFormat="1" outlineLevel="2" x14ac:dyDescent="0.3">
      <c r="A17" s="244" t="s">
        <v>180</v>
      </c>
      <c r="B17" s="160">
        <v>105.66676392895999</v>
      </c>
      <c r="C17" s="160">
        <v>4442.1250888041805</v>
      </c>
      <c r="D17" s="163">
        <v>0.63632200000000005</v>
      </c>
      <c r="E17" s="38"/>
      <c r="F17" s="38"/>
      <c r="G17" s="38"/>
      <c r="H17" s="38"/>
      <c r="I17" s="38"/>
      <c r="J17" s="38"/>
      <c r="K17" s="38"/>
      <c r="L17" s="38"/>
      <c r="M17" s="38"/>
      <c r="N17" s="38"/>
      <c r="O17" s="38"/>
      <c r="P17" s="38"/>
      <c r="Q17" s="38"/>
    </row>
    <row r="18" spans="1:17" s="61" customFormat="1" ht="14.5" outlineLevel="1" x14ac:dyDescent="0.35">
      <c r="A18" s="241" t="s">
        <v>2</v>
      </c>
      <c r="B18" s="242">
        <f>SUM(B$19:B$20)</f>
        <v>6.8629393971300008</v>
      </c>
      <c r="C18" s="242">
        <f>SUM(C$19:C$20)</f>
        <v>288.51110931761002</v>
      </c>
      <c r="D18" s="243">
        <f>SUM(D$19:D$20)</f>
        <v>4.1327999999999997E-2</v>
      </c>
      <c r="E18" s="60"/>
      <c r="F18" s="60"/>
      <c r="G18" s="60"/>
      <c r="H18" s="60"/>
      <c r="I18" s="60"/>
      <c r="J18" s="60"/>
      <c r="K18" s="60"/>
      <c r="L18" s="60"/>
      <c r="M18" s="60"/>
      <c r="N18" s="60"/>
      <c r="O18" s="60"/>
      <c r="P18" s="60"/>
      <c r="Q18" s="60"/>
    </row>
    <row r="19" spans="1:17" s="39" customFormat="1" outlineLevel="2" x14ac:dyDescent="0.3">
      <c r="A19" s="244" t="s">
        <v>179</v>
      </c>
      <c r="B19" s="160">
        <v>4.5681120212900002</v>
      </c>
      <c r="C19" s="160">
        <v>192.03886126347999</v>
      </c>
      <c r="D19" s="163">
        <v>2.7508999999999999E-2</v>
      </c>
      <c r="E19" s="38"/>
      <c r="F19" s="38"/>
      <c r="G19" s="38"/>
      <c r="H19" s="38"/>
      <c r="I19" s="38"/>
      <c r="J19" s="38"/>
      <c r="K19" s="38"/>
      <c r="L19" s="38"/>
      <c r="M19" s="38"/>
      <c r="N19" s="38"/>
      <c r="O19" s="38"/>
      <c r="P19" s="38"/>
      <c r="Q19" s="38"/>
    </row>
    <row r="20" spans="1:17" s="39" customFormat="1" outlineLevel="2" x14ac:dyDescent="0.3">
      <c r="A20" s="244" t="s">
        <v>180</v>
      </c>
      <c r="B20" s="160">
        <v>2.2948273758400002</v>
      </c>
      <c r="C20" s="160">
        <v>96.472248054130006</v>
      </c>
      <c r="D20" s="163">
        <v>1.3819E-2</v>
      </c>
      <c r="E20" s="38"/>
      <c r="F20" s="38"/>
      <c r="G20" s="38"/>
      <c r="H20" s="38"/>
      <c r="I20" s="38"/>
      <c r="J20" s="38"/>
      <c r="K20" s="38"/>
      <c r="L20" s="38"/>
      <c r="M20" s="38"/>
      <c r="N20" s="38"/>
      <c r="O20" s="38"/>
      <c r="P20" s="38"/>
      <c r="Q20" s="38"/>
    </row>
    <row r="21" spans="1:17" x14ac:dyDescent="0.3">
      <c r="B21" s="24"/>
      <c r="C21" s="24"/>
      <c r="D21" s="62"/>
      <c r="E21" s="25"/>
      <c r="F21" s="25"/>
      <c r="G21" s="25"/>
      <c r="H21" s="25"/>
      <c r="I21" s="25"/>
      <c r="J21" s="25"/>
      <c r="K21" s="25"/>
      <c r="L21" s="25"/>
      <c r="M21" s="25"/>
      <c r="N21" s="25"/>
      <c r="O21" s="25"/>
      <c r="P21" s="25"/>
      <c r="Q21" s="25"/>
    </row>
    <row r="22" spans="1:17" x14ac:dyDescent="0.3">
      <c r="B22" s="24"/>
      <c r="C22" s="24"/>
      <c r="D22" s="62"/>
      <c r="E22" s="25"/>
      <c r="F22" s="25"/>
      <c r="G22" s="25"/>
      <c r="H22" s="25"/>
      <c r="I22" s="25"/>
      <c r="J22" s="25"/>
      <c r="K22" s="25"/>
      <c r="L22" s="25"/>
      <c r="M22" s="25"/>
      <c r="N22" s="25"/>
      <c r="O22" s="25"/>
      <c r="P22" s="25"/>
      <c r="Q22" s="25"/>
    </row>
    <row r="23" spans="1:17" x14ac:dyDescent="0.3">
      <c r="B23" s="24"/>
      <c r="C23" s="24"/>
      <c r="D23" s="62"/>
      <c r="E23" s="25"/>
      <c r="F23" s="25"/>
      <c r="G23" s="25"/>
      <c r="H23" s="25"/>
      <c r="I23" s="25"/>
      <c r="J23" s="25"/>
      <c r="K23" s="25"/>
      <c r="L23" s="25"/>
      <c r="M23" s="25"/>
      <c r="N23" s="25"/>
      <c r="O23" s="25"/>
      <c r="P23" s="25"/>
      <c r="Q23" s="25"/>
    </row>
    <row r="24" spans="1:17" x14ac:dyDescent="0.3">
      <c r="B24" s="24"/>
      <c r="C24" s="24"/>
      <c r="D24" s="62"/>
      <c r="E24" s="25"/>
      <c r="F24" s="25"/>
      <c r="G24" s="25"/>
      <c r="H24" s="25"/>
      <c r="I24" s="25"/>
      <c r="J24" s="25"/>
      <c r="K24" s="25"/>
      <c r="L24" s="25"/>
      <c r="M24" s="25"/>
      <c r="N24" s="25"/>
      <c r="O24" s="25"/>
      <c r="P24" s="25"/>
      <c r="Q24" s="25"/>
    </row>
    <row r="25" spans="1:17" x14ac:dyDescent="0.3">
      <c r="B25" s="24"/>
      <c r="C25" s="24"/>
      <c r="D25" s="62"/>
      <c r="E25" s="25"/>
      <c r="F25" s="25"/>
      <c r="G25" s="25"/>
      <c r="H25" s="25"/>
      <c r="I25" s="25"/>
      <c r="J25" s="25"/>
      <c r="K25" s="25"/>
      <c r="L25" s="25"/>
      <c r="M25" s="25"/>
      <c r="N25" s="25"/>
      <c r="O25" s="25"/>
      <c r="P25" s="25"/>
      <c r="Q25" s="25"/>
    </row>
    <row r="26" spans="1:17" x14ac:dyDescent="0.3">
      <c r="B26" s="24"/>
      <c r="C26" s="24"/>
      <c r="D26" s="62"/>
      <c r="E26" s="25"/>
      <c r="F26" s="25"/>
      <c r="G26" s="25"/>
      <c r="H26" s="25"/>
      <c r="I26" s="25"/>
      <c r="J26" s="25"/>
      <c r="K26" s="25"/>
      <c r="L26" s="25"/>
      <c r="M26" s="25"/>
      <c r="N26" s="25"/>
      <c r="O26" s="25"/>
      <c r="P26" s="25"/>
      <c r="Q26" s="25"/>
    </row>
    <row r="27" spans="1:17" x14ac:dyDescent="0.3">
      <c r="B27" s="24"/>
      <c r="C27" s="24"/>
      <c r="D27" s="62"/>
      <c r="E27" s="25"/>
      <c r="F27" s="25"/>
      <c r="G27" s="25"/>
      <c r="H27" s="25"/>
      <c r="I27" s="25"/>
      <c r="J27" s="25"/>
      <c r="K27" s="25"/>
      <c r="L27" s="25"/>
      <c r="M27" s="25"/>
      <c r="N27" s="25"/>
      <c r="O27" s="25"/>
      <c r="P27" s="25"/>
      <c r="Q27" s="25"/>
    </row>
    <row r="28" spans="1:17" x14ac:dyDescent="0.3">
      <c r="B28" s="24"/>
      <c r="C28" s="24"/>
      <c r="D28" s="62"/>
      <c r="E28" s="25"/>
      <c r="F28" s="25"/>
      <c r="G28" s="25"/>
      <c r="H28" s="25"/>
      <c r="I28" s="25"/>
      <c r="J28" s="25"/>
      <c r="K28" s="25"/>
      <c r="L28" s="25"/>
      <c r="M28" s="25"/>
      <c r="N28" s="25"/>
      <c r="O28" s="25"/>
      <c r="P28" s="25"/>
      <c r="Q28" s="25"/>
    </row>
    <row r="29" spans="1:17" x14ac:dyDescent="0.3">
      <c r="B29" s="24"/>
      <c r="C29" s="24"/>
      <c r="D29" s="62"/>
      <c r="E29" s="25"/>
      <c r="F29" s="25"/>
      <c r="G29" s="25"/>
      <c r="H29" s="25"/>
      <c r="I29" s="25"/>
      <c r="J29" s="25"/>
      <c r="K29" s="25"/>
      <c r="L29" s="25"/>
      <c r="M29" s="25"/>
      <c r="N29" s="25"/>
      <c r="O29" s="25"/>
      <c r="P29" s="25"/>
      <c r="Q29" s="25"/>
    </row>
    <row r="30" spans="1:17" x14ac:dyDescent="0.3">
      <c r="B30" s="24"/>
      <c r="C30" s="24"/>
      <c r="D30" s="62"/>
      <c r="E30" s="25"/>
      <c r="F30" s="25"/>
      <c r="G30" s="25"/>
      <c r="H30" s="25"/>
      <c r="I30" s="25"/>
      <c r="J30" s="25"/>
      <c r="K30" s="25"/>
      <c r="L30" s="25"/>
      <c r="M30" s="25"/>
      <c r="N30" s="25"/>
      <c r="O30" s="25"/>
      <c r="P30" s="25"/>
      <c r="Q30" s="25"/>
    </row>
    <row r="31" spans="1:17" x14ac:dyDescent="0.3">
      <c r="B31" s="24"/>
      <c r="C31" s="24"/>
      <c r="D31" s="62"/>
      <c r="E31" s="25"/>
      <c r="F31" s="25"/>
      <c r="G31" s="25"/>
      <c r="H31" s="25"/>
      <c r="I31" s="25"/>
      <c r="J31" s="25"/>
      <c r="K31" s="25"/>
      <c r="L31" s="25"/>
      <c r="M31" s="25"/>
      <c r="N31" s="25"/>
      <c r="O31" s="25"/>
      <c r="P31" s="25"/>
      <c r="Q31" s="25"/>
    </row>
    <row r="32" spans="1:17" x14ac:dyDescent="0.3">
      <c r="B32" s="24"/>
      <c r="C32" s="24"/>
      <c r="D32" s="62"/>
      <c r="E32" s="25"/>
      <c r="F32" s="25"/>
      <c r="G32" s="25"/>
      <c r="H32" s="25"/>
      <c r="I32" s="25"/>
      <c r="J32" s="25"/>
      <c r="K32" s="25"/>
      <c r="L32" s="25"/>
      <c r="M32" s="25"/>
      <c r="N32" s="25"/>
      <c r="O32" s="25"/>
      <c r="P32" s="25"/>
      <c r="Q32" s="25"/>
    </row>
    <row r="33" spans="2:17" x14ac:dyDescent="0.3">
      <c r="B33" s="24"/>
      <c r="C33" s="24"/>
      <c r="D33" s="62"/>
      <c r="E33" s="25"/>
      <c r="F33" s="25"/>
      <c r="G33" s="25"/>
      <c r="H33" s="25"/>
      <c r="I33" s="25"/>
      <c r="J33" s="25"/>
      <c r="K33" s="25"/>
      <c r="L33" s="25"/>
      <c r="M33" s="25"/>
      <c r="N33" s="25"/>
      <c r="O33" s="25"/>
      <c r="P33" s="25"/>
      <c r="Q33" s="25"/>
    </row>
    <row r="34" spans="2:17" x14ac:dyDescent="0.3">
      <c r="B34" s="24"/>
      <c r="C34" s="24"/>
      <c r="D34" s="62"/>
      <c r="E34" s="25"/>
      <c r="F34" s="25"/>
      <c r="G34" s="25"/>
      <c r="H34" s="25"/>
      <c r="I34" s="25"/>
      <c r="J34" s="25"/>
      <c r="K34" s="25"/>
      <c r="L34" s="25"/>
      <c r="M34" s="25"/>
      <c r="N34" s="25"/>
      <c r="O34" s="25"/>
      <c r="P34" s="25"/>
      <c r="Q34" s="25"/>
    </row>
    <row r="35" spans="2:17" x14ac:dyDescent="0.3">
      <c r="B35" s="24"/>
      <c r="C35" s="24"/>
      <c r="D35" s="62"/>
      <c r="E35" s="25"/>
      <c r="F35" s="25"/>
      <c r="G35" s="25"/>
      <c r="H35" s="25"/>
      <c r="I35" s="25"/>
      <c r="J35" s="25"/>
      <c r="K35" s="25"/>
      <c r="L35" s="25"/>
      <c r="M35" s="25"/>
      <c r="N35" s="25"/>
      <c r="O35" s="25"/>
      <c r="P35" s="25"/>
      <c r="Q35" s="25"/>
    </row>
    <row r="36" spans="2:17" x14ac:dyDescent="0.3">
      <c r="B36" s="24"/>
      <c r="C36" s="24"/>
      <c r="D36" s="62"/>
      <c r="E36" s="25"/>
      <c r="F36" s="25"/>
      <c r="G36" s="25"/>
      <c r="H36" s="25"/>
      <c r="I36" s="25"/>
      <c r="J36" s="25"/>
      <c r="K36" s="25"/>
      <c r="L36" s="25"/>
      <c r="M36" s="25"/>
      <c r="N36" s="25"/>
      <c r="O36" s="25"/>
      <c r="P36" s="25"/>
      <c r="Q36" s="25"/>
    </row>
    <row r="37" spans="2:17" x14ac:dyDescent="0.3">
      <c r="B37" s="24"/>
      <c r="C37" s="24"/>
      <c r="D37" s="62"/>
      <c r="E37" s="25"/>
      <c r="F37" s="25"/>
      <c r="G37" s="25"/>
      <c r="H37" s="25"/>
      <c r="I37" s="25"/>
      <c r="J37" s="25"/>
      <c r="K37" s="25"/>
      <c r="L37" s="25"/>
      <c r="M37" s="25"/>
      <c r="N37" s="25"/>
      <c r="O37" s="25"/>
      <c r="P37" s="25"/>
      <c r="Q37" s="25"/>
    </row>
    <row r="38" spans="2:17" x14ac:dyDescent="0.3">
      <c r="B38" s="24"/>
      <c r="C38" s="24"/>
      <c r="D38" s="62"/>
      <c r="E38" s="25"/>
      <c r="F38" s="25"/>
      <c r="G38" s="25"/>
      <c r="H38" s="25"/>
      <c r="I38" s="25"/>
      <c r="J38" s="25"/>
      <c r="K38" s="25"/>
      <c r="L38" s="25"/>
      <c r="M38" s="25"/>
      <c r="N38" s="25"/>
      <c r="O38" s="25"/>
      <c r="P38" s="25"/>
      <c r="Q38" s="25"/>
    </row>
    <row r="39" spans="2:17" x14ac:dyDescent="0.3">
      <c r="B39" s="24"/>
      <c r="C39" s="24"/>
      <c r="D39" s="25"/>
      <c r="E39" s="25"/>
      <c r="F39" s="25"/>
      <c r="G39" s="25"/>
      <c r="H39" s="25"/>
      <c r="I39" s="25"/>
      <c r="J39" s="25"/>
      <c r="K39" s="25"/>
      <c r="L39" s="25"/>
      <c r="M39" s="25"/>
      <c r="N39" s="25"/>
      <c r="O39" s="25"/>
      <c r="P39" s="25"/>
      <c r="Q39" s="25"/>
    </row>
    <row r="40" spans="2:17" x14ac:dyDescent="0.3">
      <c r="B40" s="25"/>
      <c r="C40" s="25"/>
      <c r="D40" s="25"/>
      <c r="E40" s="25"/>
      <c r="F40" s="25"/>
      <c r="G40" s="25"/>
      <c r="H40" s="25"/>
      <c r="I40" s="25"/>
      <c r="J40" s="25"/>
      <c r="K40" s="25"/>
      <c r="L40" s="25"/>
      <c r="M40" s="25"/>
      <c r="N40" s="25"/>
      <c r="O40" s="25"/>
      <c r="P40" s="25"/>
      <c r="Q40" s="25"/>
    </row>
    <row r="41" spans="2:17" x14ac:dyDescent="0.3">
      <c r="B41" s="25"/>
      <c r="C41" s="25"/>
      <c r="D41" s="25"/>
      <c r="E41" s="25"/>
      <c r="F41" s="25"/>
      <c r="G41" s="25"/>
      <c r="H41" s="25"/>
      <c r="I41" s="25"/>
      <c r="J41" s="25"/>
      <c r="K41" s="25"/>
      <c r="L41" s="25"/>
      <c r="M41" s="25"/>
      <c r="N41" s="25"/>
      <c r="O41" s="25"/>
      <c r="P41" s="25"/>
      <c r="Q41" s="25"/>
    </row>
    <row r="42" spans="2:17" x14ac:dyDescent="0.3">
      <c r="B42" s="25"/>
      <c r="C42" s="25"/>
      <c r="D42" s="25"/>
      <c r="E42" s="25"/>
      <c r="F42" s="25"/>
      <c r="G42" s="25"/>
      <c r="H42" s="25"/>
      <c r="I42" s="25"/>
      <c r="J42" s="25"/>
      <c r="K42" s="25"/>
      <c r="L42" s="25"/>
      <c r="M42" s="25"/>
      <c r="N42" s="25"/>
      <c r="O42" s="25"/>
      <c r="P42" s="25"/>
      <c r="Q42" s="25"/>
    </row>
    <row r="43" spans="2:17" x14ac:dyDescent="0.3">
      <c r="B43" s="25"/>
      <c r="C43" s="25"/>
      <c r="D43" s="25"/>
      <c r="E43" s="25"/>
      <c r="F43" s="25"/>
      <c r="G43" s="25"/>
      <c r="H43" s="25"/>
      <c r="I43" s="25"/>
      <c r="J43" s="25"/>
      <c r="K43" s="25"/>
      <c r="L43" s="25"/>
      <c r="M43" s="25"/>
      <c r="N43" s="25"/>
      <c r="O43" s="25"/>
      <c r="P43" s="25"/>
      <c r="Q43" s="25"/>
    </row>
    <row r="44" spans="2:17" x14ac:dyDescent="0.3">
      <c r="B44" s="25"/>
      <c r="C44" s="25"/>
      <c r="D44" s="25"/>
      <c r="E44" s="25"/>
      <c r="F44" s="25"/>
      <c r="G44" s="25"/>
      <c r="H44" s="25"/>
      <c r="I44" s="25"/>
      <c r="J44" s="25"/>
      <c r="K44" s="25"/>
      <c r="L44" s="25"/>
      <c r="M44" s="25"/>
      <c r="N44" s="25"/>
      <c r="O44" s="25"/>
      <c r="P44" s="25"/>
      <c r="Q44" s="25"/>
    </row>
    <row r="45" spans="2:17" x14ac:dyDescent="0.3">
      <c r="B45" s="25"/>
      <c r="C45" s="25"/>
      <c r="D45" s="25"/>
      <c r="E45" s="25"/>
      <c r="F45" s="25"/>
      <c r="G45" s="25"/>
      <c r="H45" s="25"/>
      <c r="I45" s="25"/>
      <c r="J45" s="25"/>
      <c r="K45" s="25"/>
      <c r="L45" s="25"/>
      <c r="M45" s="25"/>
      <c r="N45" s="25"/>
      <c r="O45" s="25"/>
      <c r="P45" s="25"/>
      <c r="Q45" s="25"/>
    </row>
    <row r="46" spans="2:17" x14ac:dyDescent="0.3">
      <c r="B46" s="25"/>
      <c r="C46" s="25"/>
      <c r="D46" s="25"/>
      <c r="E46" s="25"/>
      <c r="F46" s="25"/>
      <c r="G46" s="25"/>
      <c r="H46" s="25"/>
      <c r="I46" s="25"/>
      <c r="J46" s="25"/>
      <c r="K46" s="25"/>
      <c r="L46" s="25"/>
      <c r="M46" s="25"/>
      <c r="N46" s="25"/>
      <c r="O46" s="25"/>
      <c r="P46" s="25"/>
      <c r="Q46" s="25"/>
    </row>
    <row r="47" spans="2:17" x14ac:dyDescent="0.3">
      <c r="B47" s="25"/>
      <c r="C47" s="25"/>
      <c r="D47" s="25"/>
      <c r="E47" s="25"/>
      <c r="F47" s="25"/>
      <c r="G47" s="25"/>
      <c r="H47" s="25"/>
      <c r="I47" s="25"/>
      <c r="J47" s="25"/>
      <c r="K47" s="25"/>
      <c r="L47" s="25"/>
      <c r="M47" s="25"/>
      <c r="N47" s="25"/>
      <c r="O47" s="25"/>
      <c r="P47" s="25"/>
      <c r="Q47" s="25"/>
    </row>
    <row r="48" spans="2:17" x14ac:dyDescent="0.3">
      <c r="B48" s="25"/>
      <c r="C48" s="25"/>
      <c r="D48" s="25"/>
      <c r="E48" s="25"/>
      <c r="F48" s="25"/>
      <c r="G48" s="25"/>
      <c r="H48" s="25"/>
      <c r="I48" s="25"/>
      <c r="J48" s="25"/>
      <c r="K48" s="25"/>
      <c r="L48" s="25"/>
      <c r="M48" s="25"/>
      <c r="N48" s="25"/>
      <c r="O48" s="25"/>
      <c r="P48" s="25"/>
      <c r="Q48" s="25"/>
    </row>
    <row r="49" spans="2:17" x14ac:dyDescent="0.3">
      <c r="B49" s="25"/>
      <c r="C49" s="25"/>
      <c r="D49" s="25"/>
      <c r="E49" s="25"/>
      <c r="F49" s="25"/>
      <c r="G49" s="25"/>
      <c r="H49" s="25"/>
      <c r="I49" s="25"/>
      <c r="J49" s="25"/>
      <c r="K49" s="25"/>
      <c r="L49" s="25"/>
      <c r="M49" s="25"/>
      <c r="N49" s="25"/>
      <c r="O49" s="25"/>
      <c r="P49" s="25"/>
      <c r="Q49" s="25"/>
    </row>
    <row r="50" spans="2:17" x14ac:dyDescent="0.3">
      <c r="B50" s="25"/>
      <c r="C50" s="25"/>
      <c r="D50" s="25"/>
      <c r="E50" s="25"/>
      <c r="F50" s="25"/>
      <c r="G50" s="25"/>
      <c r="H50" s="25"/>
      <c r="I50" s="25"/>
      <c r="J50" s="25"/>
      <c r="K50" s="25"/>
      <c r="L50" s="25"/>
      <c r="M50" s="25"/>
      <c r="N50" s="25"/>
      <c r="O50" s="25"/>
      <c r="P50" s="25"/>
      <c r="Q50" s="25"/>
    </row>
    <row r="51" spans="2:17" x14ac:dyDescent="0.3">
      <c r="B51" s="25"/>
      <c r="C51" s="25"/>
      <c r="D51" s="25"/>
      <c r="E51" s="25"/>
      <c r="F51" s="25"/>
      <c r="G51" s="25"/>
      <c r="H51" s="25"/>
      <c r="I51" s="25"/>
      <c r="J51" s="25"/>
      <c r="K51" s="25"/>
      <c r="L51" s="25"/>
      <c r="M51" s="25"/>
      <c r="N51" s="25"/>
      <c r="O51" s="25"/>
      <c r="P51" s="25"/>
      <c r="Q51" s="25"/>
    </row>
    <row r="52" spans="2:17" x14ac:dyDescent="0.3">
      <c r="B52" s="25"/>
      <c r="C52" s="25"/>
      <c r="D52" s="25"/>
      <c r="E52" s="25"/>
      <c r="F52" s="25"/>
      <c r="G52" s="25"/>
      <c r="H52" s="25"/>
      <c r="I52" s="25"/>
      <c r="J52" s="25"/>
      <c r="K52" s="25"/>
      <c r="L52" s="25"/>
      <c r="M52" s="25"/>
      <c r="N52" s="25"/>
      <c r="O52" s="25"/>
      <c r="P52" s="25"/>
      <c r="Q52" s="25"/>
    </row>
    <row r="53" spans="2:17" x14ac:dyDescent="0.3">
      <c r="B53" s="25"/>
      <c r="C53" s="25"/>
      <c r="D53" s="25"/>
      <c r="E53" s="25"/>
      <c r="F53" s="25"/>
      <c r="G53" s="25"/>
      <c r="H53" s="25"/>
      <c r="I53" s="25"/>
      <c r="J53" s="25"/>
      <c r="K53" s="25"/>
      <c r="L53" s="25"/>
      <c r="M53" s="25"/>
      <c r="N53" s="25"/>
      <c r="O53" s="25"/>
      <c r="P53" s="25"/>
      <c r="Q53" s="25"/>
    </row>
    <row r="54" spans="2:17" x14ac:dyDescent="0.3">
      <c r="B54" s="25"/>
      <c r="C54" s="25"/>
      <c r="D54" s="25"/>
      <c r="E54" s="25"/>
      <c r="F54" s="25"/>
      <c r="G54" s="25"/>
      <c r="H54" s="25"/>
      <c r="I54" s="25"/>
      <c r="J54" s="25"/>
      <c r="K54" s="25"/>
      <c r="L54" s="25"/>
      <c r="M54" s="25"/>
      <c r="N54" s="25"/>
      <c r="O54" s="25"/>
      <c r="P54" s="25"/>
      <c r="Q54" s="25"/>
    </row>
    <row r="55" spans="2:17" x14ac:dyDescent="0.3">
      <c r="B55" s="25"/>
      <c r="C55" s="25"/>
      <c r="D55" s="25"/>
      <c r="E55" s="25"/>
      <c r="F55" s="25"/>
      <c r="G55" s="25"/>
      <c r="H55" s="25"/>
      <c r="I55" s="25"/>
      <c r="J55" s="25"/>
      <c r="K55" s="25"/>
      <c r="L55" s="25"/>
      <c r="M55" s="25"/>
      <c r="N55" s="25"/>
      <c r="O55" s="25"/>
      <c r="P55" s="25"/>
      <c r="Q55" s="25"/>
    </row>
    <row r="56" spans="2:17" x14ac:dyDescent="0.3">
      <c r="B56" s="25"/>
      <c r="C56" s="25"/>
      <c r="D56" s="25"/>
      <c r="E56" s="25"/>
      <c r="F56" s="25"/>
      <c r="G56" s="25"/>
      <c r="H56" s="25"/>
      <c r="I56" s="25"/>
      <c r="J56" s="25"/>
      <c r="K56" s="25"/>
      <c r="L56" s="25"/>
      <c r="M56" s="25"/>
      <c r="N56" s="25"/>
      <c r="O56" s="25"/>
      <c r="P56" s="25"/>
      <c r="Q56" s="25"/>
    </row>
    <row r="57" spans="2:17" x14ac:dyDescent="0.3">
      <c r="B57" s="25"/>
      <c r="C57" s="25"/>
      <c r="D57" s="25"/>
      <c r="E57" s="25"/>
      <c r="F57" s="25"/>
      <c r="G57" s="25"/>
      <c r="H57" s="25"/>
      <c r="I57" s="25"/>
      <c r="J57" s="25"/>
      <c r="K57" s="25"/>
      <c r="L57" s="25"/>
      <c r="M57" s="25"/>
      <c r="N57" s="25"/>
      <c r="O57" s="25"/>
      <c r="P57" s="25"/>
      <c r="Q57" s="25"/>
    </row>
    <row r="58" spans="2:17" x14ac:dyDescent="0.3">
      <c r="B58" s="25"/>
      <c r="C58" s="25"/>
      <c r="D58" s="25"/>
      <c r="E58" s="25"/>
      <c r="F58" s="25"/>
      <c r="G58" s="25"/>
      <c r="H58" s="25"/>
      <c r="I58" s="25"/>
      <c r="J58" s="25"/>
      <c r="K58" s="25"/>
      <c r="L58" s="25"/>
      <c r="M58" s="25"/>
      <c r="N58" s="25"/>
      <c r="O58" s="25"/>
      <c r="P58" s="25"/>
      <c r="Q58" s="25"/>
    </row>
    <row r="59" spans="2:17" x14ac:dyDescent="0.3">
      <c r="B59" s="25"/>
      <c r="C59" s="25"/>
      <c r="D59" s="25"/>
      <c r="E59" s="25"/>
      <c r="F59" s="25"/>
      <c r="G59" s="25"/>
      <c r="H59" s="25"/>
      <c r="I59" s="25"/>
      <c r="J59" s="25"/>
      <c r="K59" s="25"/>
      <c r="L59" s="25"/>
      <c r="M59" s="25"/>
      <c r="N59" s="25"/>
      <c r="O59" s="25"/>
      <c r="P59" s="25"/>
      <c r="Q59" s="25"/>
    </row>
    <row r="60" spans="2:17" x14ac:dyDescent="0.3">
      <c r="B60" s="25"/>
      <c r="C60" s="25"/>
      <c r="D60" s="25"/>
      <c r="E60" s="25"/>
      <c r="F60" s="25"/>
      <c r="G60" s="25"/>
      <c r="H60" s="25"/>
      <c r="I60" s="25"/>
      <c r="J60" s="25"/>
      <c r="K60" s="25"/>
      <c r="L60" s="25"/>
      <c r="M60" s="25"/>
      <c r="N60" s="25"/>
      <c r="O60" s="25"/>
      <c r="P60" s="25"/>
      <c r="Q60" s="25"/>
    </row>
    <row r="61" spans="2:17" x14ac:dyDescent="0.3">
      <c r="B61" s="25"/>
      <c r="C61" s="25"/>
      <c r="D61" s="25"/>
      <c r="E61" s="25"/>
      <c r="F61" s="25"/>
      <c r="G61" s="25"/>
      <c r="H61" s="25"/>
      <c r="I61" s="25"/>
      <c r="J61" s="25"/>
      <c r="K61" s="25"/>
      <c r="L61" s="25"/>
      <c r="M61" s="25"/>
      <c r="N61" s="25"/>
      <c r="O61" s="25"/>
      <c r="P61" s="25"/>
      <c r="Q61" s="25"/>
    </row>
    <row r="62" spans="2:17" x14ac:dyDescent="0.3">
      <c r="B62" s="25"/>
      <c r="C62" s="25"/>
      <c r="D62" s="25"/>
      <c r="E62" s="25"/>
      <c r="F62" s="25"/>
      <c r="G62" s="25"/>
      <c r="H62" s="25"/>
      <c r="I62" s="25"/>
      <c r="J62" s="25"/>
      <c r="K62" s="25"/>
      <c r="L62" s="25"/>
      <c r="M62" s="25"/>
      <c r="N62" s="25"/>
      <c r="O62" s="25"/>
      <c r="P62" s="25"/>
      <c r="Q62" s="25"/>
    </row>
    <row r="63" spans="2:17" x14ac:dyDescent="0.3">
      <c r="B63" s="25"/>
      <c r="C63" s="25"/>
      <c r="D63" s="25"/>
      <c r="E63" s="25"/>
      <c r="F63" s="25"/>
      <c r="G63" s="25"/>
      <c r="H63" s="25"/>
      <c r="I63" s="25"/>
      <c r="J63" s="25"/>
      <c r="K63" s="25"/>
      <c r="L63" s="25"/>
      <c r="M63" s="25"/>
      <c r="N63" s="25"/>
      <c r="O63" s="25"/>
      <c r="P63" s="25"/>
      <c r="Q63" s="25"/>
    </row>
    <row r="64" spans="2:17" x14ac:dyDescent="0.3">
      <c r="B64" s="25"/>
      <c r="C64" s="25"/>
      <c r="D64" s="25"/>
      <c r="E64" s="25"/>
      <c r="F64" s="25"/>
      <c r="G64" s="25"/>
      <c r="H64" s="25"/>
      <c r="I64" s="25"/>
      <c r="J64" s="25"/>
      <c r="K64" s="25"/>
      <c r="L64" s="25"/>
      <c r="M64" s="25"/>
      <c r="N64" s="25"/>
      <c r="O64" s="25"/>
      <c r="P64" s="25"/>
      <c r="Q64" s="25"/>
    </row>
    <row r="65" spans="2:17" x14ac:dyDescent="0.3">
      <c r="B65" s="25"/>
      <c r="C65" s="25"/>
      <c r="D65" s="25"/>
      <c r="E65" s="25"/>
      <c r="F65" s="25"/>
      <c r="G65" s="25"/>
      <c r="H65" s="25"/>
      <c r="I65" s="25"/>
      <c r="J65" s="25"/>
      <c r="K65" s="25"/>
      <c r="L65" s="25"/>
      <c r="M65" s="25"/>
      <c r="N65" s="25"/>
      <c r="O65" s="25"/>
      <c r="P65" s="25"/>
      <c r="Q65" s="25"/>
    </row>
    <row r="66" spans="2:17" x14ac:dyDescent="0.3">
      <c r="B66" s="25"/>
      <c r="C66" s="25"/>
      <c r="D66" s="25"/>
      <c r="E66" s="25"/>
      <c r="F66" s="25"/>
      <c r="G66" s="25"/>
      <c r="H66" s="25"/>
      <c r="I66" s="25"/>
      <c r="J66" s="25"/>
      <c r="K66" s="25"/>
      <c r="L66" s="25"/>
      <c r="M66" s="25"/>
      <c r="N66" s="25"/>
      <c r="O66" s="25"/>
      <c r="P66" s="25"/>
      <c r="Q66" s="25"/>
    </row>
    <row r="67" spans="2:17" x14ac:dyDescent="0.3">
      <c r="B67" s="25"/>
      <c r="C67" s="25"/>
      <c r="D67" s="25"/>
      <c r="E67" s="25"/>
      <c r="F67" s="25"/>
      <c r="G67" s="25"/>
      <c r="H67" s="25"/>
      <c r="I67" s="25"/>
      <c r="J67" s="25"/>
      <c r="K67" s="25"/>
      <c r="L67" s="25"/>
      <c r="M67" s="25"/>
      <c r="N67" s="25"/>
      <c r="O67" s="25"/>
      <c r="P67" s="25"/>
      <c r="Q67" s="25"/>
    </row>
    <row r="68" spans="2:17" x14ac:dyDescent="0.3">
      <c r="B68" s="25"/>
      <c r="C68" s="25"/>
      <c r="D68" s="25"/>
      <c r="E68" s="25"/>
      <c r="F68" s="25"/>
      <c r="G68" s="25"/>
      <c r="H68" s="25"/>
      <c r="I68" s="25"/>
      <c r="J68" s="25"/>
      <c r="K68" s="25"/>
      <c r="L68" s="25"/>
      <c r="M68" s="25"/>
      <c r="N68" s="25"/>
      <c r="O68" s="25"/>
      <c r="P68" s="25"/>
      <c r="Q68" s="25"/>
    </row>
    <row r="69" spans="2:17" x14ac:dyDescent="0.3">
      <c r="B69" s="25"/>
      <c r="C69" s="25"/>
      <c r="D69" s="25"/>
      <c r="E69" s="25"/>
      <c r="F69" s="25"/>
      <c r="G69" s="25"/>
      <c r="H69" s="25"/>
      <c r="I69" s="25"/>
      <c r="J69" s="25"/>
      <c r="K69" s="25"/>
      <c r="L69" s="25"/>
      <c r="M69" s="25"/>
      <c r="N69" s="25"/>
      <c r="O69" s="25"/>
      <c r="P69" s="25"/>
      <c r="Q69" s="25"/>
    </row>
    <row r="70" spans="2:17" x14ac:dyDescent="0.3">
      <c r="B70" s="25"/>
      <c r="C70" s="25"/>
      <c r="D70" s="25"/>
      <c r="E70" s="25"/>
      <c r="F70" s="25"/>
      <c r="G70" s="25"/>
      <c r="H70" s="25"/>
      <c r="I70" s="25"/>
      <c r="J70" s="25"/>
      <c r="K70" s="25"/>
      <c r="L70" s="25"/>
      <c r="M70" s="25"/>
      <c r="N70" s="25"/>
      <c r="O70" s="25"/>
      <c r="P70" s="25"/>
      <c r="Q70" s="25"/>
    </row>
    <row r="71" spans="2:17" x14ac:dyDescent="0.3">
      <c r="B71" s="25"/>
      <c r="C71" s="25"/>
      <c r="D71" s="25"/>
      <c r="E71" s="25"/>
      <c r="F71" s="25"/>
      <c r="G71" s="25"/>
      <c r="H71" s="25"/>
      <c r="I71" s="25"/>
      <c r="J71" s="25"/>
      <c r="K71" s="25"/>
      <c r="L71" s="25"/>
      <c r="M71" s="25"/>
      <c r="N71" s="25"/>
      <c r="O71" s="25"/>
      <c r="P71" s="25"/>
      <c r="Q71" s="25"/>
    </row>
    <row r="72" spans="2:17" x14ac:dyDescent="0.3">
      <c r="B72" s="25"/>
      <c r="C72" s="25"/>
      <c r="D72" s="25"/>
      <c r="E72" s="25"/>
      <c r="F72" s="25"/>
      <c r="G72" s="25"/>
      <c r="H72" s="25"/>
      <c r="I72" s="25"/>
      <c r="J72" s="25"/>
      <c r="K72" s="25"/>
      <c r="L72" s="25"/>
      <c r="M72" s="25"/>
      <c r="N72" s="25"/>
      <c r="O72" s="25"/>
      <c r="P72" s="25"/>
      <c r="Q72" s="25"/>
    </row>
    <row r="73" spans="2:17" x14ac:dyDescent="0.3">
      <c r="B73" s="25"/>
      <c r="C73" s="25"/>
      <c r="D73" s="25"/>
      <c r="E73" s="25"/>
      <c r="F73" s="25"/>
      <c r="G73" s="25"/>
      <c r="H73" s="25"/>
      <c r="I73" s="25"/>
      <c r="J73" s="25"/>
      <c r="K73" s="25"/>
      <c r="L73" s="25"/>
      <c r="M73" s="25"/>
      <c r="N73" s="25"/>
      <c r="O73" s="25"/>
      <c r="P73" s="25"/>
      <c r="Q73" s="25"/>
    </row>
    <row r="74" spans="2:17" x14ac:dyDescent="0.3">
      <c r="B74" s="25"/>
      <c r="C74" s="25"/>
      <c r="D74" s="25"/>
      <c r="E74" s="25"/>
      <c r="F74" s="25"/>
      <c r="G74" s="25"/>
      <c r="H74" s="25"/>
      <c r="I74" s="25"/>
      <c r="J74" s="25"/>
      <c r="K74" s="25"/>
      <c r="L74" s="25"/>
      <c r="M74" s="25"/>
      <c r="N74" s="25"/>
      <c r="O74" s="25"/>
      <c r="P74" s="25"/>
      <c r="Q74" s="25"/>
    </row>
    <row r="75" spans="2:17" x14ac:dyDescent="0.3">
      <c r="B75" s="25"/>
      <c r="C75" s="25"/>
      <c r="D75" s="25"/>
      <c r="E75" s="25"/>
      <c r="F75" s="25"/>
      <c r="G75" s="25"/>
      <c r="H75" s="25"/>
      <c r="I75" s="25"/>
      <c r="J75" s="25"/>
      <c r="K75" s="25"/>
      <c r="L75" s="25"/>
      <c r="M75" s="25"/>
      <c r="N75" s="25"/>
      <c r="O75" s="25"/>
      <c r="P75" s="25"/>
      <c r="Q75" s="25"/>
    </row>
    <row r="76" spans="2:17" x14ac:dyDescent="0.3">
      <c r="B76" s="25"/>
      <c r="C76" s="25"/>
      <c r="D76" s="25"/>
      <c r="E76" s="25"/>
      <c r="F76" s="25"/>
      <c r="G76" s="25"/>
      <c r="H76" s="25"/>
      <c r="I76" s="25"/>
      <c r="J76" s="25"/>
      <c r="K76" s="25"/>
      <c r="L76" s="25"/>
      <c r="M76" s="25"/>
      <c r="N76" s="25"/>
      <c r="O76" s="25"/>
      <c r="P76" s="25"/>
      <c r="Q76" s="25"/>
    </row>
    <row r="77" spans="2:17" x14ac:dyDescent="0.3">
      <c r="B77" s="25"/>
      <c r="C77" s="25"/>
      <c r="D77" s="25"/>
      <c r="E77" s="25"/>
      <c r="F77" s="25"/>
      <c r="G77" s="25"/>
      <c r="H77" s="25"/>
      <c r="I77" s="25"/>
      <c r="J77" s="25"/>
      <c r="K77" s="25"/>
      <c r="L77" s="25"/>
      <c r="M77" s="25"/>
      <c r="N77" s="25"/>
      <c r="O77" s="25"/>
      <c r="P77" s="25"/>
      <c r="Q77" s="25"/>
    </row>
    <row r="78" spans="2:17" x14ac:dyDescent="0.3">
      <c r="B78" s="25"/>
      <c r="C78" s="25"/>
      <c r="D78" s="25"/>
      <c r="E78" s="25"/>
      <c r="F78" s="25"/>
      <c r="G78" s="25"/>
      <c r="H78" s="25"/>
      <c r="I78" s="25"/>
      <c r="J78" s="25"/>
      <c r="K78" s="25"/>
      <c r="L78" s="25"/>
      <c r="M78" s="25"/>
      <c r="N78" s="25"/>
      <c r="O78" s="25"/>
      <c r="P78" s="25"/>
      <c r="Q78" s="25"/>
    </row>
    <row r="79" spans="2:17" x14ac:dyDescent="0.3">
      <c r="B79" s="25"/>
      <c r="C79" s="25"/>
      <c r="D79" s="25"/>
      <c r="E79" s="25"/>
      <c r="F79" s="25"/>
      <c r="G79" s="25"/>
      <c r="H79" s="25"/>
      <c r="I79" s="25"/>
      <c r="J79" s="25"/>
      <c r="K79" s="25"/>
      <c r="L79" s="25"/>
      <c r="M79" s="25"/>
      <c r="N79" s="25"/>
      <c r="O79" s="25"/>
      <c r="P79" s="25"/>
      <c r="Q79" s="25"/>
    </row>
    <row r="80" spans="2:17" x14ac:dyDescent="0.3">
      <c r="B80" s="25"/>
      <c r="C80" s="25"/>
      <c r="D80" s="25"/>
      <c r="E80" s="25"/>
      <c r="F80" s="25"/>
      <c r="G80" s="25"/>
      <c r="H80" s="25"/>
      <c r="I80" s="25"/>
      <c r="J80" s="25"/>
      <c r="K80" s="25"/>
      <c r="L80" s="25"/>
      <c r="M80" s="25"/>
      <c r="N80" s="25"/>
      <c r="O80" s="25"/>
      <c r="P80" s="25"/>
      <c r="Q80" s="25"/>
    </row>
    <row r="81" spans="2:17" x14ac:dyDescent="0.3">
      <c r="B81" s="25"/>
      <c r="C81" s="25"/>
      <c r="D81" s="25"/>
      <c r="E81" s="25"/>
      <c r="F81" s="25"/>
      <c r="G81" s="25"/>
      <c r="H81" s="25"/>
      <c r="I81" s="25"/>
      <c r="J81" s="25"/>
      <c r="K81" s="25"/>
      <c r="L81" s="25"/>
      <c r="M81" s="25"/>
      <c r="N81" s="25"/>
      <c r="O81" s="25"/>
      <c r="P81" s="25"/>
      <c r="Q81" s="25"/>
    </row>
    <row r="82" spans="2:17" x14ac:dyDescent="0.3">
      <c r="B82" s="25"/>
      <c r="C82" s="25"/>
      <c r="D82" s="25"/>
      <c r="E82" s="25"/>
      <c r="F82" s="25"/>
      <c r="G82" s="25"/>
      <c r="H82" s="25"/>
      <c r="I82" s="25"/>
      <c r="J82" s="25"/>
      <c r="K82" s="25"/>
      <c r="L82" s="25"/>
      <c r="M82" s="25"/>
      <c r="N82" s="25"/>
      <c r="O82" s="25"/>
      <c r="P82" s="25"/>
      <c r="Q82" s="25"/>
    </row>
    <row r="83" spans="2:17" x14ac:dyDescent="0.3">
      <c r="B83" s="25"/>
      <c r="C83" s="25"/>
      <c r="D83" s="25"/>
      <c r="E83" s="25"/>
      <c r="F83" s="25"/>
      <c r="G83" s="25"/>
      <c r="H83" s="25"/>
      <c r="I83" s="25"/>
      <c r="J83" s="25"/>
      <c r="K83" s="25"/>
      <c r="L83" s="25"/>
      <c r="M83" s="25"/>
      <c r="N83" s="25"/>
      <c r="O83" s="25"/>
      <c r="P83" s="25"/>
      <c r="Q83" s="25"/>
    </row>
    <row r="84" spans="2:17" x14ac:dyDescent="0.3">
      <c r="B84" s="25"/>
      <c r="C84" s="25"/>
      <c r="D84" s="25"/>
      <c r="E84" s="25"/>
      <c r="F84" s="25"/>
      <c r="G84" s="25"/>
      <c r="H84" s="25"/>
      <c r="I84" s="25"/>
      <c r="J84" s="25"/>
      <c r="K84" s="25"/>
      <c r="L84" s="25"/>
      <c r="M84" s="25"/>
      <c r="N84" s="25"/>
      <c r="O84" s="25"/>
      <c r="P84" s="25"/>
      <c r="Q84" s="25"/>
    </row>
    <row r="85" spans="2:17" x14ac:dyDescent="0.3">
      <c r="B85" s="25"/>
      <c r="C85" s="25"/>
      <c r="D85" s="25"/>
      <c r="E85" s="25"/>
      <c r="F85" s="25"/>
      <c r="G85" s="25"/>
      <c r="H85" s="25"/>
      <c r="I85" s="25"/>
      <c r="J85" s="25"/>
      <c r="K85" s="25"/>
      <c r="L85" s="25"/>
      <c r="M85" s="25"/>
      <c r="N85" s="25"/>
      <c r="O85" s="25"/>
      <c r="P85" s="25"/>
      <c r="Q85" s="25"/>
    </row>
    <row r="86" spans="2:17" x14ac:dyDescent="0.3">
      <c r="B86" s="25"/>
      <c r="C86" s="25"/>
      <c r="D86" s="25"/>
      <c r="E86" s="25"/>
      <c r="F86" s="25"/>
      <c r="G86" s="25"/>
      <c r="H86" s="25"/>
      <c r="I86" s="25"/>
      <c r="J86" s="25"/>
      <c r="K86" s="25"/>
      <c r="L86" s="25"/>
      <c r="M86" s="25"/>
      <c r="N86" s="25"/>
      <c r="O86" s="25"/>
      <c r="P86" s="25"/>
      <c r="Q86" s="25"/>
    </row>
    <row r="87" spans="2:17" x14ac:dyDescent="0.3">
      <c r="B87" s="25"/>
      <c r="C87" s="25"/>
      <c r="D87" s="25"/>
      <c r="E87" s="25"/>
      <c r="F87" s="25"/>
      <c r="G87" s="25"/>
      <c r="H87" s="25"/>
      <c r="I87" s="25"/>
      <c r="J87" s="25"/>
      <c r="K87" s="25"/>
      <c r="L87" s="25"/>
      <c r="M87" s="25"/>
      <c r="N87" s="25"/>
      <c r="O87" s="25"/>
      <c r="P87" s="25"/>
      <c r="Q87" s="25"/>
    </row>
    <row r="88" spans="2:17" x14ac:dyDescent="0.3">
      <c r="B88" s="25"/>
      <c r="C88" s="25"/>
      <c r="D88" s="25"/>
      <c r="E88" s="25"/>
      <c r="F88" s="25"/>
      <c r="G88" s="25"/>
      <c r="H88" s="25"/>
      <c r="I88" s="25"/>
      <c r="J88" s="25"/>
      <c r="K88" s="25"/>
      <c r="L88" s="25"/>
      <c r="M88" s="25"/>
      <c r="N88" s="25"/>
      <c r="O88" s="25"/>
      <c r="P88" s="25"/>
      <c r="Q88" s="25"/>
    </row>
    <row r="89" spans="2:17" x14ac:dyDescent="0.3">
      <c r="B89" s="25"/>
      <c r="C89" s="25"/>
      <c r="D89" s="25"/>
      <c r="E89" s="25"/>
      <c r="F89" s="25"/>
      <c r="G89" s="25"/>
      <c r="H89" s="25"/>
      <c r="I89" s="25"/>
      <c r="J89" s="25"/>
      <c r="K89" s="25"/>
      <c r="L89" s="25"/>
      <c r="M89" s="25"/>
      <c r="N89" s="25"/>
      <c r="O89" s="25"/>
      <c r="P89" s="25"/>
      <c r="Q89" s="25"/>
    </row>
    <row r="90" spans="2:17" x14ac:dyDescent="0.3">
      <c r="B90" s="25"/>
      <c r="C90" s="25"/>
      <c r="D90" s="25"/>
      <c r="E90" s="25"/>
      <c r="F90" s="25"/>
      <c r="G90" s="25"/>
      <c r="H90" s="25"/>
      <c r="I90" s="25"/>
      <c r="J90" s="25"/>
      <c r="K90" s="25"/>
      <c r="L90" s="25"/>
      <c r="M90" s="25"/>
      <c r="N90" s="25"/>
      <c r="O90" s="25"/>
      <c r="P90" s="25"/>
      <c r="Q90" s="25"/>
    </row>
    <row r="91" spans="2:17" x14ac:dyDescent="0.3">
      <c r="B91" s="25"/>
      <c r="C91" s="25"/>
      <c r="D91" s="25"/>
      <c r="E91" s="25"/>
      <c r="F91" s="25"/>
      <c r="G91" s="25"/>
      <c r="H91" s="25"/>
      <c r="I91" s="25"/>
      <c r="J91" s="25"/>
      <c r="K91" s="25"/>
      <c r="L91" s="25"/>
      <c r="M91" s="25"/>
      <c r="N91" s="25"/>
      <c r="O91" s="25"/>
      <c r="P91" s="25"/>
      <c r="Q91" s="25"/>
    </row>
    <row r="92" spans="2:17" x14ac:dyDescent="0.3">
      <c r="B92" s="25"/>
      <c r="C92" s="25"/>
      <c r="D92" s="25"/>
      <c r="E92" s="25"/>
      <c r="F92" s="25"/>
      <c r="G92" s="25"/>
      <c r="H92" s="25"/>
      <c r="I92" s="25"/>
      <c r="J92" s="25"/>
      <c r="K92" s="25"/>
      <c r="L92" s="25"/>
      <c r="M92" s="25"/>
      <c r="N92" s="25"/>
      <c r="O92" s="25"/>
      <c r="P92" s="25"/>
      <c r="Q92" s="25"/>
    </row>
    <row r="93" spans="2:17" x14ac:dyDescent="0.3">
      <c r="B93" s="25"/>
      <c r="C93" s="25"/>
      <c r="D93" s="25"/>
      <c r="E93" s="25"/>
      <c r="F93" s="25"/>
      <c r="G93" s="25"/>
      <c r="H93" s="25"/>
      <c r="I93" s="25"/>
      <c r="J93" s="25"/>
      <c r="K93" s="25"/>
      <c r="L93" s="25"/>
      <c r="M93" s="25"/>
      <c r="N93" s="25"/>
      <c r="O93" s="25"/>
      <c r="P93" s="25"/>
      <c r="Q93" s="25"/>
    </row>
    <row r="94" spans="2:17" x14ac:dyDescent="0.3">
      <c r="B94" s="25"/>
      <c r="C94" s="25"/>
      <c r="D94" s="25"/>
      <c r="E94" s="25"/>
      <c r="F94" s="25"/>
      <c r="G94" s="25"/>
      <c r="H94" s="25"/>
      <c r="I94" s="25"/>
      <c r="J94" s="25"/>
      <c r="K94" s="25"/>
      <c r="L94" s="25"/>
      <c r="M94" s="25"/>
      <c r="N94" s="25"/>
      <c r="O94" s="25"/>
      <c r="P94" s="25"/>
      <c r="Q94" s="25"/>
    </row>
    <row r="95" spans="2:17" x14ac:dyDescent="0.3">
      <c r="B95" s="25"/>
      <c r="C95" s="25"/>
      <c r="D95" s="25"/>
      <c r="E95" s="25"/>
      <c r="F95" s="25"/>
      <c r="G95" s="25"/>
      <c r="H95" s="25"/>
      <c r="I95" s="25"/>
      <c r="J95" s="25"/>
      <c r="K95" s="25"/>
      <c r="L95" s="25"/>
      <c r="M95" s="25"/>
      <c r="N95" s="25"/>
      <c r="O95" s="25"/>
      <c r="P95" s="25"/>
      <c r="Q95" s="25"/>
    </row>
    <row r="96" spans="2:17" x14ac:dyDescent="0.3">
      <c r="B96" s="25"/>
      <c r="C96" s="25"/>
      <c r="D96" s="25"/>
      <c r="E96" s="25"/>
      <c r="F96" s="25"/>
      <c r="G96" s="25"/>
      <c r="H96" s="25"/>
      <c r="I96" s="25"/>
      <c r="J96" s="25"/>
      <c r="K96" s="25"/>
      <c r="L96" s="25"/>
      <c r="M96" s="25"/>
      <c r="N96" s="25"/>
      <c r="O96" s="25"/>
      <c r="P96" s="25"/>
      <c r="Q96" s="25"/>
    </row>
    <row r="97" spans="2:17" x14ac:dyDescent="0.3">
      <c r="B97" s="25"/>
      <c r="C97" s="25"/>
      <c r="D97" s="25"/>
      <c r="E97" s="25"/>
      <c r="F97" s="25"/>
      <c r="G97" s="25"/>
      <c r="H97" s="25"/>
      <c r="I97" s="25"/>
      <c r="J97" s="25"/>
      <c r="K97" s="25"/>
      <c r="L97" s="25"/>
      <c r="M97" s="25"/>
      <c r="N97" s="25"/>
      <c r="O97" s="25"/>
      <c r="P97" s="25"/>
      <c r="Q97" s="25"/>
    </row>
    <row r="98" spans="2:17" x14ac:dyDescent="0.3">
      <c r="B98" s="25"/>
      <c r="C98" s="25"/>
      <c r="D98" s="25"/>
      <c r="E98" s="25"/>
      <c r="F98" s="25"/>
      <c r="G98" s="25"/>
      <c r="H98" s="25"/>
      <c r="I98" s="25"/>
      <c r="J98" s="25"/>
      <c r="K98" s="25"/>
      <c r="L98" s="25"/>
      <c r="M98" s="25"/>
      <c r="N98" s="25"/>
      <c r="O98" s="25"/>
      <c r="P98" s="25"/>
      <c r="Q98" s="25"/>
    </row>
    <row r="99" spans="2:17" x14ac:dyDescent="0.3">
      <c r="B99" s="25"/>
      <c r="C99" s="25"/>
      <c r="D99" s="25"/>
      <c r="E99" s="25"/>
      <c r="F99" s="25"/>
      <c r="G99" s="25"/>
      <c r="H99" s="25"/>
      <c r="I99" s="25"/>
      <c r="J99" s="25"/>
      <c r="K99" s="25"/>
      <c r="L99" s="25"/>
      <c r="M99" s="25"/>
      <c r="N99" s="25"/>
      <c r="O99" s="25"/>
      <c r="P99" s="25"/>
      <c r="Q99" s="25"/>
    </row>
    <row r="100" spans="2:17" x14ac:dyDescent="0.3">
      <c r="B100" s="25"/>
      <c r="C100" s="25"/>
      <c r="D100" s="25"/>
      <c r="E100" s="25"/>
      <c r="F100" s="25"/>
      <c r="G100" s="25"/>
      <c r="H100" s="25"/>
      <c r="I100" s="25"/>
      <c r="J100" s="25"/>
      <c r="K100" s="25"/>
      <c r="L100" s="25"/>
      <c r="M100" s="25"/>
      <c r="N100" s="25"/>
      <c r="O100" s="25"/>
      <c r="P100" s="25"/>
      <c r="Q100" s="25"/>
    </row>
    <row r="101" spans="2:17" x14ac:dyDescent="0.3">
      <c r="B101" s="25"/>
      <c r="C101" s="25"/>
      <c r="D101" s="25"/>
      <c r="E101" s="25"/>
      <c r="F101" s="25"/>
      <c r="G101" s="25"/>
      <c r="H101" s="25"/>
      <c r="I101" s="25"/>
      <c r="J101" s="25"/>
      <c r="K101" s="25"/>
      <c r="L101" s="25"/>
      <c r="M101" s="25"/>
      <c r="N101" s="25"/>
      <c r="O101" s="25"/>
      <c r="P101" s="25"/>
      <c r="Q101" s="25"/>
    </row>
    <row r="102" spans="2:17" x14ac:dyDescent="0.3">
      <c r="B102" s="25"/>
      <c r="C102" s="25"/>
      <c r="D102" s="25"/>
      <c r="E102" s="25"/>
      <c r="F102" s="25"/>
      <c r="G102" s="25"/>
      <c r="H102" s="25"/>
      <c r="I102" s="25"/>
      <c r="J102" s="25"/>
      <c r="K102" s="25"/>
      <c r="L102" s="25"/>
      <c r="M102" s="25"/>
      <c r="N102" s="25"/>
      <c r="O102" s="25"/>
      <c r="P102" s="25"/>
      <c r="Q102" s="25"/>
    </row>
    <row r="103" spans="2:17" x14ac:dyDescent="0.3">
      <c r="B103" s="25"/>
      <c r="C103" s="25"/>
      <c r="D103" s="25"/>
      <c r="E103" s="25"/>
      <c r="F103" s="25"/>
      <c r="G103" s="25"/>
      <c r="H103" s="25"/>
      <c r="I103" s="25"/>
      <c r="J103" s="25"/>
      <c r="K103" s="25"/>
      <c r="L103" s="25"/>
      <c r="M103" s="25"/>
      <c r="N103" s="25"/>
      <c r="O103" s="25"/>
      <c r="P103" s="25"/>
      <c r="Q103" s="25"/>
    </row>
    <row r="104" spans="2:17" x14ac:dyDescent="0.3">
      <c r="B104" s="25"/>
      <c r="C104" s="25"/>
      <c r="D104" s="25"/>
      <c r="E104" s="25"/>
      <c r="F104" s="25"/>
      <c r="G104" s="25"/>
      <c r="H104" s="25"/>
      <c r="I104" s="25"/>
      <c r="J104" s="25"/>
      <c r="K104" s="25"/>
      <c r="L104" s="25"/>
      <c r="M104" s="25"/>
      <c r="N104" s="25"/>
      <c r="O104" s="25"/>
      <c r="P104" s="25"/>
      <c r="Q104" s="25"/>
    </row>
    <row r="105" spans="2:17" x14ac:dyDescent="0.3">
      <c r="B105" s="25"/>
      <c r="C105" s="25"/>
      <c r="D105" s="25"/>
      <c r="E105" s="25"/>
      <c r="F105" s="25"/>
      <c r="G105" s="25"/>
      <c r="H105" s="25"/>
      <c r="I105" s="25"/>
      <c r="J105" s="25"/>
      <c r="K105" s="25"/>
      <c r="L105" s="25"/>
      <c r="M105" s="25"/>
      <c r="N105" s="25"/>
      <c r="O105" s="25"/>
      <c r="P105" s="25"/>
      <c r="Q105" s="25"/>
    </row>
    <row r="106" spans="2:17" x14ac:dyDescent="0.3">
      <c r="B106" s="25"/>
      <c r="C106" s="25"/>
      <c r="D106" s="25"/>
      <c r="E106" s="25"/>
      <c r="F106" s="25"/>
      <c r="G106" s="25"/>
      <c r="H106" s="25"/>
      <c r="I106" s="25"/>
      <c r="J106" s="25"/>
      <c r="K106" s="25"/>
      <c r="L106" s="25"/>
      <c r="M106" s="25"/>
      <c r="N106" s="25"/>
      <c r="O106" s="25"/>
      <c r="P106" s="25"/>
      <c r="Q106" s="25"/>
    </row>
    <row r="107" spans="2:17" x14ac:dyDescent="0.3">
      <c r="B107" s="25"/>
      <c r="C107" s="25"/>
      <c r="D107" s="25"/>
      <c r="E107" s="25"/>
      <c r="F107" s="25"/>
      <c r="G107" s="25"/>
      <c r="H107" s="25"/>
      <c r="I107" s="25"/>
      <c r="J107" s="25"/>
      <c r="K107" s="25"/>
      <c r="L107" s="25"/>
      <c r="M107" s="25"/>
      <c r="N107" s="25"/>
      <c r="O107" s="25"/>
      <c r="P107" s="25"/>
      <c r="Q107" s="25"/>
    </row>
    <row r="108" spans="2:17" x14ac:dyDescent="0.3">
      <c r="B108" s="25"/>
      <c r="C108" s="25"/>
      <c r="D108" s="25"/>
      <c r="E108" s="25"/>
      <c r="F108" s="25"/>
      <c r="G108" s="25"/>
      <c r="H108" s="25"/>
      <c r="I108" s="25"/>
      <c r="J108" s="25"/>
      <c r="K108" s="25"/>
      <c r="L108" s="25"/>
      <c r="M108" s="25"/>
      <c r="N108" s="25"/>
      <c r="O108" s="25"/>
      <c r="P108" s="25"/>
      <c r="Q108" s="25"/>
    </row>
    <row r="109" spans="2:17" x14ac:dyDescent="0.3">
      <c r="B109" s="25"/>
      <c r="C109" s="25"/>
      <c r="D109" s="25"/>
      <c r="E109" s="25"/>
      <c r="F109" s="25"/>
      <c r="G109" s="25"/>
      <c r="H109" s="25"/>
      <c r="I109" s="25"/>
      <c r="J109" s="25"/>
      <c r="K109" s="25"/>
      <c r="L109" s="25"/>
      <c r="M109" s="25"/>
      <c r="N109" s="25"/>
      <c r="O109" s="25"/>
      <c r="P109" s="25"/>
      <c r="Q109" s="25"/>
    </row>
    <row r="110" spans="2:17" x14ac:dyDescent="0.3">
      <c r="B110" s="25"/>
      <c r="C110" s="25"/>
      <c r="D110" s="25"/>
      <c r="E110" s="25"/>
      <c r="F110" s="25"/>
      <c r="G110" s="25"/>
      <c r="H110" s="25"/>
      <c r="I110" s="25"/>
      <c r="J110" s="25"/>
      <c r="K110" s="25"/>
      <c r="L110" s="25"/>
      <c r="M110" s="25"/>
      <c r="N110" s="25"/>
      <c r="O110" s="25"/>
      <c r="P110" s="25"/>
      <c r="Q110" s="25"/>
    </row>
    <row r="111" spans="2:17" x14ac:dyDescent="0.3">
      <c r="B111" s="25"/>
      <c r="C111" s="25"/>
      <c r="D111" s="25"/>
      <c r="E111" s="25"/>
      <c r="F111" s="25"/>
      <c r="G111" s="25"/>
      <c r="H111" s="25"/>
      <c r="I111" s="25"/>
      <c r="J111" s="25"/>
      <c r="K111" s="25"/>
      <c r="L111" s="25"/>
      <c r="M111" s="25"/>
      <c r="N111" s="25"/>
      <c r="O111" s="25"/>
      <c r="P111" s="25"/>
      <c r="Q111" s="25"/>
    </row>
    <row r="112" spans="2:17" x14ac:dyDescent="0.3">
      <c r="B112" s="25"/>
      <c r="C112" s="25"/>
      <c r="D112" s="25"/>
      <c r="E112" s="25"/>
      <c r="F112" s="25"/>
      <c r="G112" s="25"/>
      <c r="H112" s="25"/>
      <c r="I112" s="25"/>
      <c r="J112" s="25"/>
      <c r="K112" s="25"/>
      <c r="L112" s="25"/>
      <c r="M112" s="25"/>
      <c r="N112" s="25"/>
      <c r="O112" s="25"/>
      <c r="P112" s="25"/>
      <c r="Q112" s="25"/>
    </row>
    <row r="113" spans="2:17" x14ac:dyDescent="0.3">
      <c r="B113" s="25"/>
      <c r="C113" s="25"/>
      <c r="D113" s="25"/>
      <c r="E113" s="25"/>
      <c r="F113" s="25"/>
      <c r="G113" s="25"/>
      <c r="H113" s="25"/>
      <c r="I113" s="25"/>
      <c r="J113" s="25"/>
      <c r="K113" s="25"/>
      <c r="L113" s="25"/>
      <c r="M113" s="25"/>
      <c r="N113" s="25"/>
      <c r="O113" s="25"/>
      <c r="P113" s="25"/>
      <c r="Q113" s="25"/>
    </row>
    <row r="114" spans="2:17" x14ac:dyDescent="0.3">
      <c r="B114" s="25"/>
      <c r="C114" s="25"/>
      <c r="D114" s="25"/>
      <c r="E114" s="25"/>
      <c r="F114" s="25"/>
      <c r="G114" s="25"/>
      <c r="H114" s="25"/>
      <c r="I114" s="25"/>
      <c r="J114" s="25"/>
      <c r="K114" s="25"/>
      <c r="L114" s="25"/>
      <c r="M114" s="25"/>
      <c r="N114" s="25"/>
      <c r="O114" s="25"/>
      <c r="P114" s="25"/>
      <c r="Q114" s="25"/>
    </row>
    <row r="115" spans="2:17" x14ac:dyDescent="0.3">
      <c r="B115" s="25"/>
      <c r="C115" s="25"/>
      <c r="D115" s="25"/>
      <c r="E115" s="25"/>
      <c r="F115" s="25"/>
      <c r="G115" s="25"/>
      <c r="H115" s="25"/>
      <c r="I115" s="25"/>
      <c r="J115" s="25"/>
      <c r="K115" s="25"/>
      <c r="L115" s="25"/>
      <c r="M115" s="25"/>
      <c r="N115" s="25"/>
      <c r="O115" s="25"/>
      <c r="P115" s="25"/>
      <c r="Q115" s="25"/>
    </row>
    <row r="116" spans="2:17" x14ac:dyDescent="0.3">
      <c r="B116" s="25"/>
      <c r="C116" s="25"/>
      <c r="D116" s="25"/>
      <c r="E116" s="25"/>
      <c r="F116" s="25"/>
      <c r="G116" s="25"/>
      <c r="H116" s="25"/>
      <c r="I116" s="25"/>
      <c r="J116" s="25"/>
      <c r="K116" s="25"/>
      <c r="L116" s="25"/>
      <c r="M116" s="25"/>
      <c r="N116" s="25"/>
      <c r="O116" s="25"/>
      <c r="P116" s="25"/>
      <c r="Q116" s="25"/>
    </row>
    <row r="117" spans="2:17" x14ac:dyDescent="0.3">
      <c r="B117" s="25"/>
      <c r="C117" s="25"/>
      <c r="D117" s="25"/>
      <c r="E117" s="25"/>
      <c r="F117" s="25"/>
      <c r="G117" s="25"/>
      <c r="H117" s="25"/>
      <c r="I117" s="25"/>
      <c r="J117" s="25"/>
      <c r="K117" s="25"/>
      <c r="L117" s="25"/>
      <c r="M117" s="25"/>
      <c r="N117" s="25"/>
      <c r="O117" s="25"/>
      <c r="P117" s="25"/>
      <c r="Q117" s="25"/>
    </row>
    <row r="118" spans="2:17" x14ac:dyDescent="0.3">
      <c r="B118" s="25"/>
      <c r="C118" s="25"/>
      <c r="D118" s="25"/>
      <c r="E118" s="25"/>
      <c r="F118" s="25"/>
      <c r="G118" s="25"/>
      <c r="H118" s="25"/>
      <c r="I118" s="25"/>
      <c r="J118" s="25"/>
      <c r="K118" s="25"/>
      <c r="L118" s="25"/>
      <c r="M118" s="25"/>
      <c r="N118" s="25"/>
      <c r="O118" s="25"/>
      <c r="P118" s="25"/>
      <c r="Q118" s="25"/>
    </row>
    <row r="119" spans="2:17" x14ac:dyDescent="0.3">
      <c r="B119" s="25"/>
      <c r="C119" s="25"/>
      <c r="D119" s="25"/>
      <c r="E119" s="25"/>
      <c r="F119" s="25"/>
      <c r="G119" s="25"/>
      <c r="H119" s="25"/>
      <c r="I119" s="25"/>
      <c r="J119" s="25"/>
      <c r="K119" s="25"/>
      <c r="L119" s="25"/>
      <c r="M119" s="25"/>
      <c r="N119" s="25"/>
      <c r="O119" s="25"/>
      <c r="P119" s="25"/>
      <c r="Q119" s="25"/>
    </row>
    <row r="120" spans="2:17" x14ac:dyDescent="0.3">
      <c r="B120" s="25"/>
      <c r="C120" s="25"/>
      <c r="D120" s="25"/>
      <c r="E120" s="25"/>
      <c r="F120" s="25"/>
      <c r="G120" s="25"/>
      <c r="H120" s="25"/>
      <c r="I120" s="25"/>
      <c r="J120" s="25"/>
      <c r="K120" s="25"/>
      <c r="L120" s="25"/>
      <c r="M120" s="25"/>
      <c r="N120" s="25"/>
      <c r="O120" s="25"/>
      <c r="P120" s="25"/>
      <c r="Q120" s="25"/>
    </row>
    <row r="121" spans="2:17" x14ac:dyDescent="0.3">
      <c r="B121" s="25"/>
      <c r="C121" s="25"/>
      <c r="D121" s="25"/>
      <c r="E121" s="25"/>
      <c r="F121" s="25"/>
      <c r="G121" s="25"/>
      <c r="H121" s="25"/>
      <c r="I121" s="25"/>
      <c r="J121" s="25"/>
      <c r="K121" s="25"/>
      <c r="L121" s="25"/>
      <c r="M121" s="25"/>
      <c r="N121" s="25"/>
      <c r="O121" s="25"/>
      <c r="P121" s="25"/>
      <c r="Q121" s="25"/>
    </row>
    <row r="122" spans="2:17" x14ac:dyDescent="0.3">
      <c r="B122" s="25"/>
      <c r="C122" s="25"/>
      <c r="D122" s="25"/>
      <c r="E122" s="25"/>
      <c r="F122" s="25"/>
      <c r="G122" s="25"/>
      <c r="H122" s="25"/>
      <c r="I122" s="25"/>
      <c r="J122" s="25"/>
      <c r="K122" s="25"/>
      <c r="L122" s="25"/>
      <c r="M122" s="25"/>
      <c r="N122" s="25"/>
      <c r="O122" s="25"/>
      <c r="P122" s="25"/>
      <c r="Q122" s="25"/>
    </row>
    <row r="123" spans="2:17" x14ac:dyDescent="0.3">
      <c r="B123" s="25"/>
      <c r="C123" s="25"/>
      <c r="D123" s="25"/>
      <c r="E123" s="25"/>
      <c r="F123" s="25"/>
      <c r="G123" s="25"/>
      <c r="H123" s="25"/>
      <c r="I123" s="25"/>
      <c r="J123" s="25"/>
      <c r="K123" s="25"/>
      <c r="L123" s="25"/>
      <c r="M123" s="25"/>
      <c r="N123" s="25"/>
      <c r="O123" s="25"/>
      <c r="P123" s="25"/>
      <c r="Q123" s="25"/>
    </row>
    <row r="124" spans="2:17" x14ac:dyDescent="0.3">
      <c r="B124" s="25"/>
      <c r="C124" s="25"/>
      <c r="D124" s="25"/>
      <c r="E124" s="25"/>
      <c r="F124" s="25"/>
      <c r="G124" s="25"/>
      <c r="H124" s="25"/>
      <c r="I124" s="25"/>
      <c r="J124" s="25"/>
      <c r="K124" s="25"/>
      <c r="L124" s="25"/>
      <c r="M124" s="25"/>
      <c r="N124" s="25"/>
      <c r="O124" s="25"/>
      <c r="P124" s="25"/>
      <c r="Q124" s="25"/>
    </row>
    <row r="125" spans="2:17" x14ac:dyDescent="0.3">
      <c r="B125" s="25"/>
      <c r="C125" s="25"/>
      <c r="D125" s="25"/>
      <c r="E125" s="25"/>
      <c r="F125" s="25"/>
      <c r="G125" s="25"/>
      <c r="H125" s="25"/>
      <c r="I125" s="25"/>
      <c r="J125" s="25"/>
      <c r="K125" s="25"/>
      <c r="L125" s="25"/>
      <c r="M125" s="25"/>
      <c r="N125" s="25"/>
      <c r="O125" s="25"/>
      <c r="P125" s="25"/>
      <c r="Q125" s="25"/>
    </row>
    <row r="126" spans="2:17" x14ac:dyDescent="0.3">
      <c r="B126" s="25"/>
      <c r="C126" s="25"/>
      <c r="D126" s="25"/>
      <c r="E126" s="25"/>
      <c r="F126" s="25"/>
      <c r="G126" s="25"/>
      <c r="H126" s="25"/>
      <c r="I126" s="25"/>
      <c r="J126" s="25"/>
      <c r="K126" s="25"/>
      <c r="L126" s="25"/>
      <c r="M126" s="25"/>
      <c r="N126" s="25"/>
      <c r="O126" s="25"/>
      <c r="P126" s="25"/>
      <c r="Q126" s="25"/>
    </row>
    <row r="127" spans="2:17" x14ac:dyDescent="0.3">
      <c r="B127" s="25"/>
      <c r="C127" s="25"/>
      <c r="D127" s="25"/>
      <c r="E127" s="25"/>
      <c r="F127" s="25"/>
      <c r="G127" s="25"/>
      <c r="H127" s="25"/>
      <c r="I127" s="25"/>
      <c r="J127" s="25"/>
      <c r="K127" s="25"/>
      <c r="L127" s="25"/>
      <c r="M127" s="25"/>
      <c r="N127" s="25"/>
      <c r="O127" s="25"/>
      <c r="P127" s="25"/>
      <c r="Q127" s="25"/>
    </row>
    <row r="128" spans="2:17" x14ac:dyDescent="0.3">
      <c r="B128" s="25"/>
      <c r="C128" s="25"/>
      <c r="D128" s="25"/>
      <c r="E128" s="25"/>
      <c r="F128" s="25"/>
      <c r="G128" s="25"/>
      <c r="H128" s="25"/>
      <c r="I128" s="25"/>
      <c r="J128" s="25"/>
      <c r="K128" s="25"/>
      <c r="L128" s="25"/>
      <c r="M128" s="25"/>
      <c r="N128" s="25"/>
      <c r="O128" s="25"/>
      <c r="P128" s="25"/>
      <c r="Q128" s="25"/>
    </row>
    <row r="129" spans="2:17" x14ac:dyDescent="0.3">
      <c r="B129" s="25"/>
      <c r="C129" s="25"/>
      <c r="D129" s="25"/>
      <c r="E129" s="25"/>
      <c r="F129" s="25"/>
      <c r="G129" s="25"/>
      <c r="H129" s="25"/>
      <c r="I129" s="25"/>
      <c r="J129" s="25"/>
      <c r="K129" s="25"/>
      <c r="L129" s="25"/>
      <c r="M129" s="25"/>
      <c r="N129" s="25"/>
      <c r="O129" s="25"/>
      <c r="P129" s="25"/>
      <c r="Q129" s="25"/>
    </row>
    <row r="130" spans="2:17" x14ac:dyDescent="0.3">
      <c r="B130" s="25"/>
      <c r="C130" s="25"/>
      <c r="D130" s="25"/>
      <c r="E130" s="25"/>
      <c r="F130" s="25"/>
      <c r="G130" s="25"/>
      <c r="H130" s="25"/>
      <c r="I130" s="25"/>
      <c r="J130" s="25"/>
      <c r="K130" s="25"/>
      <c r="L130" s="25"/>
      <c r="M130" s="25"/>
      <c r="N130" s="25"/>
      <c r="O130" s="25"/>
      <c r="P130" s="25"/>
      <c r="Q130" s="25"/>
    </row>
    <row r="131" spans="2:17" x14ac:dyDescent="0.3">
      <c r="B131" s="25"/>
      <c r="C131" s="25"/>
      <c r="D131" s="25"/>
      <c r="E131" s="25"/>
      <c r="F131" s="25"/>
      <c r="G131" s="25"/>
      <c r="H131" s="25"/>
      <c r="I131" s="25"/>
      <c r="J131" s="25"/>
      <c r="K131" s="25"/>
      <c r="L131" s="25"/>
      <c r="M131" s="25"/>
      <c r="N131" s="25"/>
      <c r="O131" s="25"/>
      <c r="P131" s="25"/>
      <c r="Q131" s="25"/>
    </row>
    <row r="132" spans="2:17" x14ac:dyDescent="0.3">
      <c r="B132" s="25"/>
      <c r="C132" s="25"/>
      <c r="D132" s="25"/>
      <c r="E132" s="25"/>
      <c r="F132" s="25"/>
      <c r="G132" s="25"/>
      <c r="H132" s="25"/>
      <c r="I132" s="25"/>
      <c r="J132" s="25"/>
      <c r="K132" s="25"/>
      <c r="L132" s="25"/>
      <c r="M132" s="25"/>
      <c r="N132" s="25"/>
      <c r="O132" s="25"/>
      <c r="P132" s="25"/>
      <c r="Q132" s="25"/>
    </row>
    <row r="133" spans="2:17" x14ac:dyDescent="0.3">
      <c r="B133" s="25"/>
      <c r="C133" s="25"/>
      <c r="D133" s="25"/>
      <c r="E133" s="25"/>
      <c r="F133" s="25"/>
      <c r="G133" s="25"/>
      <c r="H133" s="25"/>
      <c r="I133" s="25"/>
      <c r="J133" s="25"/>
      <c r="K133" s="25"/>
      <c r="L133" s="25"/>
      <c r="M133" s="25"/>
      <c r="N133" s="25"/>
      <c r="O133" s="25"/>
      <c r="P133" s="25"/>
      <c r="Q133" s="25"/>
    </row>
    <row r="134" spans="2:17" x14ac:dyDescent="0.3">
      <c r="B134" s="25"/>
      <c r="C134" s="25"/>
      <c r="D134" s="25"/>
      <c r="E134" s="25"/>
      <c r="F134" s="25"/>
      <c r="G134" s="25"/>
      <c r="H134" s="25"/>
      <c r="I134" s="25"/>
      <c r="J134" s="25"/>
      <c r="K134" s="25"/>
      <c r="L134" s="25"/>
      <c r="M134" s="25"/>
      <c r="N134" s="25"/>
      <c r="O134" s="25"/>
      <c r="P134" s="25"/>
      <c r="Q134" s="25"/>
    </row>
    <row r="135" spans="2:17" x14ac:dyDescent="0.3">
      <c r="B135" s="25"/>
      <c r="C135" s="25"/>
      <c r="D135" s="25"/>
      <c r="E135" s="25"/>
      <c r="F135" s="25"/>
      <c r="G135" s="25"/>
      <c r="H135" s="25"/>
      <c r="I135" s="25"/>
      <c r="J135" s="25"/>
      <c r="K135" s="25"/>
      <c r="L135" s="25"/>
      <c r="M135" s="25"/>
      <c r="N135" s="25"/>
      <c r="O135" s="25"/>
      <c r="P135" s="25"/>
      <c r="Q135" s="25"/>
    </row>
    <row r="136" spans="2:17" x14ac:dyDescent="0.3">
      <c r="B136" s="25"/>
      <c r="C136" s="25"/>
      <c r="D136" s="25"/>
      <c r="E136" s="25"/>
      <c r="F136" s="25"/>
      <c r="G136" s="25"/>
      <c r="H136" s="25"/>
      <c r="I136" s="25"/>
      <c r="J136" s="25"/>
      <c r="K136" s="25"/>
      <c r="L136" s="25"/>
      <c r="M136" s="25"/>
      <c r="N136" s="25"/>
      <c r="O136" s="25"/>
      <c r="P136" s="25"/>
      <c r="Q136" s="25"/>
    </row>
    <row r="137" spans="2:17" x14ac:dyDescent="0.3">
      <c r="B137" s="25"/>
      <c r="C137" s="25"/>
      <c r="D137" s="25"/>
      <c r="E137" s="25"/>
      <c r="F137" s="25"/>
      <c r="G137" s="25"/>
      <c r="H137" s="25"/>
      <c r="I137" s="25"/>
      <c r="J137" s="25"/>
      <c r="K137" s="25"/>
      <c r="L137" s="25"/>
      <c r="M137" s="25"/>
      <c r="N137" s="25"/>
      <c r="O137" s="25"/>
      <c r="P137" s="25"/>
      <c r="Q137" s="25"/>
    </row>
    <row r="138" spans="2:17" x14ac:dyDescent="0.3">
      <c r="B138" s="25"/>
      <c r="C138" s="25"/>
      <c r="D138" s="25"/>
      <c r="E138" s="25"/>
      <c r="F138" s="25"/>
      <c r="G138" s="25"/>
      <c r="H138" s="25"/>
      <c r="I138" s="25"/>
      <c r="J138" s="25"/>
      <c r="K138" s="25"/>
      <c r="L138" s="25"/>
      <c r="M138" s="25"/>
      <c r="N138" s="25"/>
      <c r="O138" s="25"/>
      <c r="P138" s="25"/>
      <c r="Q138" s="25"/>
    </row>
    <row r="139" spans="2:17" x14ac:dyDescent="0.3">
      <c r="B139" s="25"/>
      <c r="C139" s="25"/>
      <c r="D139" s="25"/>
      <c r="E139" s="25"/>
      <c r="F139" s="25"/>
      <c r="G139" s="25"/>
      <c r="H139" s="25"/>
      <c r="I139" s="25"/>
      <c r="J139" s="25"/>
      <c r="K139" s="25"/>
      <c r="L139" s="25"/>
      <c r="M139" s="25"/>
      <c r="N139" s="25"/>
      <c r="O139" s="25"/>
      <c r="P139" s="25"/>
      <c r="Q139" s="25"/>
    </row>
    <row r="140" spans="2:17" x14ac:dyDescent="0.3">
      <c r="B140" s="25"/>
      <c r="C140" s="25"/>
      <c r="D140" s="25"/>
      <c r="E140" s="25"/>
      <c r="F140" s="25"/>
      <c r="G140" s="25"/>
      <c r="H140" s="25"/>
      <c r="I140" s="25"/>
      <c r="J140" s="25"/>
      <c r="K140" s="25"/>
      <c r="L140" s="25"/>
      <c r="M140" s="25"/>
      <c r="N140" s="25"/>
      <c r="O140" s="25"/>
      <c r="P140" s="25"/>
      <c r="Q140" s="25"/>
    </row>
    <row r="141" spans="2:17" x14ac:dyDescent="0.3">
      <c r="B141" s="25"/>
      <c r="C141" s="25"/>
      <c r="D141" s="25"/>
      <c r="E141" s="25"/>
      <c r="F141" s="25"/>
      <c r="G141" s="25"/>
      <c r="H141" s="25"/>
      <c r="I141" s="25"/>
      <c r="J141" s="25"/>
      <c r="K141" s="25"/>
      <c r="L141" s="25"/>
      <c r="M141" s="25"/>
      <c r="N141" s="25"/>
      <c r="O141" s="25"/>
      <c r="P141" s="25"/>
      <c r="Q141" s="25"/>
    </row>
    <row r="142" spans="2:17" x14ac:dyDescent="0.3">
      <c r="B142" s="25"/>
      <c r="C142" s="25"/>
      <c r="D142" s="25"/>
      <c r="E142" s="25"/>
      <c r="F142" s="25"/>
      <c r="G142" s="25"/>
      <c r="H142" s="25"/>
      <c r="I142" s="25"/>
      <c r="J142" s="25"/>
      <c r="K142" s="25"/>
      <c r="L142" s="25"/>
      <c r="M142" s="25"/>
      <c r="N142" s="25"/>
      <c r="O142" s="25"/>
      <c r="P142" s="25"/>
      <c r="Q142" s="25"/>
    </row>
    <row r="143" spans="2:17" x14ac:dyDescent="0.3">
      <c r="B143" s="25"/>
      <c r="C143" s="25"/>
      <c r="D143" s="25"/>
      <c r="E143" s="25"/>
      <c r="F143" s="25"/>
      <c r="G143" s="25"/>
      <c r="H143" s="25"/>
      <c r="I143" s="25"/>
      <c r="J143" s="25"/>
      <c r="K143" s="25"/>
      <c r="L143" s="25"/>
      <c r="M143" s="25"/>
      <c r="N143" s="25"/>
      <c r="O143" s="25"/>
      <c r="P143" s="25"/>
      <c r="Q143" s="25"/>
    </row>
    <row r="144" spans="2:17" x14ac:dyDescent="0.3">
      <c r="B144" s="25"/>
      <c r="C144" s="25"/>
      <c r="D144" s="25"/>
      <c r="E144" s="25"/>
      <c r="F144" s="25"/>
      <c r="G144" s="25"/>
      <c r="H144" s="25"/>
      <c r="I144" s="25"/>
      <c r="J144" s="25"/>
      <c r="K144" s="25"/>
      <c r="L144" s="25"/>
      <c r="M144" s="25"/>
      <c r="N144" s="25"/>
      <c r="O144" s="25"/>
      <c r="P144" s="25"/>
      <c r="Q144" s="25"/>
    </row>
    <row r="145" spans="2:17" x14ac:dyDescent="0.3">
      <c r="B145" s="25"/>
      <c r="C145" s="25"/>
      <c r="D145" s="25"/>
      <c r="E145" s="25"/>
      <c r="F145" s="25"/>
      <c r="G145" s="25"/>
      <c r="H145" s="25"/>
      <c r="I145" s="25"/>
      <c r="J145" s="25"/>
      <c r="K145" s="25"/>
      <c r="L145" s="25"/>
      <c r="M145" s="25"/>
      <c r="N145" s="25"/>
      <c r="O145" s="25"/>
      <c r="P145" s="25"/>
      <c r="Q145" s="25"/>
    </row>
    <row r="146" spans="2:17" x14ac:dyDescent="0.3">
      <c r="B146" s="25"/>
      <c r="C146" s="25"/>
      <c r="D146" s="25"/>
      <c r="E146" s="25"/>
      <c r="F146" s="25"/>
      <c r="G146" s="25"/>
      <c r="H146" s="25"/>
      <c r="I146" s="25"/>
      <c r="J146" s="25"/>
      <c r="K146" s="25"/>
      <c r="L146" s="25"/>
      <c r="M146" s="25"/>
      <c r="N146" s="25"/>
      <c r="O146" s="25"/>
      <c r="P146" s="25"/>
      <c r="Q146" s="25"/>
    </row>
    <row r="147" spans="2:17" x14ac:dyDescent="0.3">
      <c r="B147" s="25"/>
      <c r="C147" s="25"/>
      <c r="D147" s="25"/>
      <c r="E147" s="25"/>
      <c r="F147" s="25"/>
      <c r="G147" s="25"/>
      <c r="H147" s="25"/>
      <c r="I147" s="25"/>
      <c r="J147" s="25"/>
      <c r="K147" s="25"/>
      <c r="L147" s="25"/>
      <c r="M147" s="25"/>
      <c r="N147" s="25"/>
      <c r="O147" s="25"/>
      <c r="P147" s="25"/>
      <c r="Q147" s="25"/>
    </row>
    <row r="148" spans="2:17" x14ac:dyDescent="0.3">
      <c r="B148" s="25"/>
      <c r="C148" s="25"/>
      <c r="D148" s="25"/>
      <c r="E148" s="25"/>
      <c r="F148" s="25"/>
      <c r="G148" s="25"/>
      <c r="H148" s="25"/>
      <c r="I148" s="25"/>
      <c r="J148" s="25"/>
      <c r="K148" s="25"/>
      <c r="L148" s="25"/>
      <c r="M148" s="25"/>
      <c r="N148" s="25"/>
      <c r="O148" s="25"/>
      <c r="P148" s="25"/>
      <c r="Q148" s="25"/>
    </row>
    <row r="149" spans="2:17" x14ac:dyDescent="0.3">
      <c r="B149" s="25"/>
      <c r="C149" s="25"/>
      <c r="D149" s="25"/>
      <c r="E149" s="25"/>
      <c r="F149" s="25"/>
      <c r="G149" s="25"/>
      <c r="H149" s="25"/>
      <c r="I149" s="25"/>
      <c r="J149" s="25"/>
      <c r="K149" s="25"/>
      <c r="L149" s="25"/>
      <c r="M149" s="25"/>
      <c r="N149" s="25"/>
      <c r="O149" s="25"/>
      <c r="P149" s="25"/>
      <c r="Q149" s="25"/>
    </row>
    <row r="150" spans="2:17" x14ac:dyDescent="0.3">
      <c r="B150" s="25"/>
      <c r="C150" s="25"/>
      <c r="D150" s="25"/>
      <c r="E150" s="25"/>
      <c r="F150" s="25"/>
      <c r="G150" s="25"/>
      <c r="H150" s="25"/>
      <c r="I150" s="25"/>
      <c r="J150" s="25"/>
      <c r="K150" s="25"/>
      <c r="L150" s="25"/>
      <c r="M150" s="25"/>
      <c r="N150" s="25"/>
      <c r="O150" s="25"/>
      <c r="P150" s="25"/>
      <c r="Q150" s="25"/>
    </row>
    <row r="151" spans="2:17" x14ac:dyDescent="0.3">
      <c r="B151" s="25"/>
      <c r="C151" s="25"/>
      <c r="D151" s="25"/>
      <c r="E151" s="25"/>
      <c r="F151" s="25"/>
      <c r="G151" s="25"/>
      <c r="H151" s="25"/>
      <c r="I151" s="25"/>
      <c r="J151" s="25"/>
      <c r="K151" s="25"/>
      <c r="L151" s="25"/>
      <c r="M151" s="25"/>
      <c r="N151" s="25"/>
      <c r="O151" s="25"/>
      <c r="P151" s="25"/>
      <c r="Q151" s="25"/>
    </row>
    <row r="152" spans="2:17" x14ac:dyDescent="0.3">
      <c r="B152" s="25"/>
      <c r="C152" s="25"/>
      <c r="D152" s="25"/>
      <c r="E152" s="25"/>
      <c r="F152" s="25"/>
      <c r="G152" s="25"/>
      <c r="H152" s="25"/>
      <c r="I152" s="25"/>
      <c r="J152" s="25"/>
      <c r="K152" s="25"/>
      <c r="L152" s="25"/>
      <c r="M152" s="25"/>
      <c r="N152" s="25"/>
      <c r="O152" s="25"/>
      <c r="P152" s="25"/>
      <c r="Q152" s="25"/>
    </row>
    <row r="153" spans="2:17" x14ac:dyDescent="0.3">
      <c r="B153" s="25"/>
      <c r="C153" s="25"/>
      <c r="D153" s="25"/>
      <c r="E153" s="25"/>
      <c r="F153" s="25"/>
      <c r="G153" s="25"/>
      <c r="H153" s="25"/>
      <c r="I153" s="25"/>
      <c r="J153" s="25"/>
      <c r="K153" s="25"/>
      <c r="L153" s="25"/>
      <c r="M153" s="25"/>
      <c r="N153" s="25"/>
      <c r="O153" s="25"/>
      <c r="P153" s="25"/>
      <c r="Q153" s="25"/>
    </row>
    <row r="154" spans="2:17" x14ac:dyDescent="0.3">
      <c r="B154" s="25"/>
      <c r="C154" s="25"/>
      <c r="D154" s="25"/>
      <c r="E154" s="25"/>
      <c r="F154" s="25"/>
      <c r="G154" s="25"/>
      <c r="H154" s="25"/>
      <c r="I154" s="25"/>
      <c r="J154" s="25"/>
      <c r="K154" s="25"/>
      <c r="L154" s="25"/>
      <c r="M154" s="25"/>
      <c r="N154" s="25"/>
      <c r="O154" s="25"/>
      <c r="P154" s="25"/>
      <c r="Q154" s="25"/>
    </row>
    <row r="155" spans="2:17" x14ac:dyDescent="0.3">
      <c r="B155" s="25"/>
      <c r="C155" s="25"/>
      <c r="D155" s="25"/>
      <c r="E155" s="25"/>
      <c r="F155" s="25"/>
      <c r="G155" s="25"/>
      <c r="H155" s="25"/>
      <c r="I155" s="25"/>
      <c r="J155" s="25"/>
      <c r="K155" s="25"/>
      <c r="L155" s="25"/>
      <c r="M155" s="25"/>
      <c r="N155" s="25"/>
      <c r="O155" s="25"/>
      <c r="P155" s="25"/>
      <c r="Q155" s="25"/>
    </row>
    <row r="156" spans="2:17" x14ac:dyDescent="0.3">
      <c r="B156" s="25"/>
      <c r="C156" s="25"/>
      <c r="D156" s="25"/>
      <c r="E156" s="25"/>
      <c r="F156" s="25"/>
      <c r="G156" s="25"/>
      <c r="H156" s="25"/>
      <c r="I156" s="25"/>
      <c r="J156" s="25"/>
      <c r="K156" s="25"/>
      <c r="L156" s="25"/>
      <c r="M156" s="25"/>
      <c r="N156" s="25"/>
      <c r="O156" s="25"/>
      <c r="P156" s="25"/>
      <c r="Q156" s="25"/>
    </row>
    <row r="157" spans="2:17" x14ac:dyDescent="0.3">
      <c r="B157" s="25"/>
      <c r="C157" s="25"/>
      <c r="D157" s="25"/>
      <c r="E157" s="25"/>
      <c r="F157" s="25"/>
      <c r="G157" s="25"/>
      <c r="H157" s="25"/>
      <c r="I157" s="25"/>
      <c r="J157" s="25"/>
      <c r="K157" s="25"/>
      <c r="L157" s="25"/>
      <c r="M157" s="25"/>
      <c r="N157" s="25"/>
      <c r="O157" s="25"/>
      <c r="P157" s="25"/>
      <c r="Q157" s="25"/>
    </row>
    <row r="158" spans="2:17" x14ac:dyDescent="0.3">
      <c r="B158" s="25"/>
      <c r="C158" s="25"/>
      <c r="D158" s="25"/>
      <c r="E158" s="25"/>
      <c r="F158" s="25"/>
      <c r="G158" s="25"/>
      <c r="H158" s="25"/>
      <c r="I158" s="25"/>
      <c r="J158" s="25"/>
      <c r="K158" s="25"/>
      <c r="L158" s="25"/>
      <c r="M158" s="25"/>
      <c r="N158" s="25"/>
      <c r="O158" s="25"/>
      <c r="P158" s="25"/>
      <c r="Q158" s="25"/>
    </row>
    <row r="159" spans="2:17" x14ac:dyDescent="0.3">
      <c r="B159" s="25"/>
      <c r="C159" s="25"/>
      <c r="D159" s="25"/>
      <c r="E159" s="25"/>
      <c r="F159" s="25"/>
      <c r="G159" s="25"/>
      <c r="H159" s="25"/>
      <c r="I159" s="25"/>
      <c r="J159" s="25"/>
      <c r="K159" s="25"/>
      <c r="L159" s="25"/>
      <c r="M159" s="25"/>
      <c r="N159" s="25"/>
      <c r="O159" s="25"/>
      <c r="P159" s="25"/>
      <c r="Q159" s="25"/>
    </row>
    <row r="160" spans="2:17" x14ac:dyDescent="0.3">
      <c r="B160" s="25"/>
      <c r="C160" s="25"/>
      <c r="D160" s="25"/>
      <c r="E160" s="25"/>
      <c r="F160" s="25"/>
      <c r="G160" s="25"/>
      <c r="H160" s="25"/>
      <c r="I160" s="25"/>
      <c r="J160" s="25"/>
      <c r="K160" s="25"/>
      <c r="L160" s="25"/>
      <c r="M160" s="25"/>
      <c r="N160" s="25"/>
      <c r="O160" s="25"/>
      <c r="P160" s="25"/>
      <c r="Q160" s="25"/>
    </row>
    <row r="161" spans="2:17" x14ac:dyDescent="0.3">
      <c r="B161" s="25"/>
      <c r="C161" s="25"/>
      <c r="D161" s="25"/>
      <c r="E161" s="25"/>
      <c r="F161" s="25"/>
      <c r="G161" s="25"/>
      <c r="H161" s="25"/>
      <c r="I161" s="25"/>
      <c r="J161" s="25"/>
      <c r="K161" s="25"/>
      <c r="L161" s="25"/>
      <c r="M161" s="25"/>
      <c r="N161" s="25"/>
      <c r="O161" s="25"/>
      <c r="P161" s="25"/>
      <c r="Q161" s="25"/>
    </row>
    <row r="162" spans="2:17" x14ac:dyDescent="0.3">
      <c r="B162" s="25"/>
      <c r="C162" s="25"/>
      <c r="D162" s="25"/>
      <c r="E162" s="25"/>
      <c r="F162" s="25"/>
      <c r="G162" s="25"/>
      <c r="H162" s="25"/>
      <c r="I162" s="25"/>
      <c r="J162" s="25"/>
      <c r="K162" s="25"/>
      <c r="L162" s="25"/>
      <c r="M162" s="25"/>
      <c r="N162" s="25"/>
      <c r="O162" s="25"/>
      <c r="P162" s="25"/>
      <c r="Q162" s="25"/>
    </row>
    <row r="163" spans="2:17" x14ac:dyDescent="0.3">
      <c r="B163" s="25"/>
      <c r="C163" s="25"/>
      <c r="D163" s="25"/>
      <c r="E163" s="25"/>
      <c r="F163" s="25"/>
      <c r="G163" s="25"/>
      <c r="H163" s="25"/>
      <c r="I163" s="25"/>
      <c r="J163" s="25"/>
      <c r="K163" s="25"/>
      <c r="L163" s="25"/>
      <c r="M163" s="25"/>
      <c r="N163" s="25"/>
      <c r="O163" s="25"/>
      <c r="P163" s="25"/>
      <c r="Q163" s="25"/>
    </row>
    <row r="164" spans="2:17" x14ac:dyDescent="0.3">
      <c r="B164" s="25"/>
      <c r="C164" s="25"/>
      <c r="D164" s="25"/>
      <c r="E164" s="25"/>
      <c r="F164" s="25"/>
      <c r="G164" s="25"/>
      <c r="H164" s="25"/>
      <c r="I164" s="25"/>
      <c r="J164" s="25"/>
      <c r="K164" s="25"/>
      <c r="L164" s="25"/>
      <c r="M164" s="25"/>
      <c r="N164" s="25"/>
      <c r="O164" s="25"/>
      <c r="P164" s="25"/>
      <c r="Q164" s="25"/>
    </row>
    <row r="165" spans="2:17" x14ac:dyDescent="0.3">
      <c r="B165" s="25"/>
      <c r="C165" s="25"/>
      <c r="D165" s="25"/>
      <c r="E165" s="25"/>
      <c r="F165" s="25"/>
      <c r="G165" s="25"/>
      <c r="H165" s="25"/>
      <c r="I165" s="25"/>
      <c r="J165" s="25"/>
      <c r="K165" s="25"/>
      <c r="L165" s="25"/>
      <c r="M165" s="25"/>
      <c r="N165" s="25"/>
      <c r="O165" s="25"/>
      <c r="P165" s="25"/>
      <c r="Q165" s="25"/>
    </row>
    <row r="166" spans="2:17" x14ac:dyDescent="0.3">
      <c r="B166" s="25"/>
      <c r="C166" s="25"/>
      <c r="D166" s="25"/>
      <c r="E166" s="25"/>
      <c r="F166" s="25"/>
      <c r="G166" s="25"/>
      <c r="H166" s="25"/>
      <c r="I166" s="25"/>
      <c r="J166" s="25"/>
      <c r="K166" s="25"/>
      <c r="L166" s="25"/>
      <c r="M166" s="25"/>
      <c r="N166" s="25"/>
      <c r="O166" s="25"/>
      <c r="P166" s="25"/>
      <c r="Q166" s="25"/>
    </row>
    <row r="167" spans="2:17" x14ac:dyDescent="0.3">
      <c r="B167" s="25"/>
      <c r="C167" s="25"/>
      <c r="D167" s="25"/>
      <c r="E167" s="25"/>
      <c r="F167" s="25"/>
      <c r="G167" s="25"/>
      <c r="H167" s="25"/>
      <c r="I167" s="25"/>
      <c r="J167" s="25"/>
      <c r="K167" s="25"/>
      <c r="L167" s="25"/>
      <c r="M167" s="25"/>
      <c r="N167" s="25"/>
      <c r="O167" s="25"/>
      <c r="P167" s="25"/>
      <c r="Q167" s="25"/>
    </row>
    <row r="168" spans="2:17" x14ac:dyDescent="0.3">
      <c r="B168" s="25"/>
      <c r="C168" s="25"/>
      <c r="D168" s="25"/>
      <c r="E168" s="25"/>
      <c r="F168" s="25"/>
      <c r="G168" s="25"/>
      <c r="H168" s="25"/>
      <c r="I168" s="25"/>
      <c r="J168" s="25"/>
      <c r="K168" s="25"/>
      <c r="L168" s="25"/>
      <c r="M168" s="25"/>
      <c r="N168" s="25"/>
      <c r="O168" s="25"/>
      <c r="P168" s="25"/>
      <c r="Q168" s="25"/>
    </row>
    <row r="169" spans="2:17" x14ac:dyDescent="0.3">
      <c r="B169" s="25"/>
      <c r="C169" s="25"/>
      <c r="D169" s="25"/>
      <c r="E169" s="25"/>
      <c r="F169" s="25"/>
      <c r="G169" s="25"/>
      <c r="H169" s="25"/>
      <c r="I169" s="25"/>
      <c r="J169" s="25"/>
      <c r="K169" s="25"/>
      <c r="L169" s="25"/>
      <c r="M169" s="25"/>
      <c r="N169" s="25"/>
      <c r="O169" s="25"/>
      <c r="P169" s="25"/>
      <c r="Q169" s="25"/>
    </row>
    <row r="170" spans="2:17" x14ac:dyDescent="0.3">
      <c r="B170" s="25"/>
      <c r="C170" s="25"/>
      <c r="D170" s="25"/>
      <c r="E170" s="25"/>
      <c r="F170" s="25"/>
      <c r="G170" s="25"/>
      <c r="H170" s="25"/>
      <c r="I170" s="25"/>
      <c r="J170" s="25"/>
      <c r="K170" s="25"/>
      <c r="L170" s="25"/>
      <c r="M170" s="25"/>
      <c r="N170" s="25"/>
      <c r="O170" s="25"/>
      <c r="P170" s="25"/>
      <c r="Q170" s="25"/>
    </row>
    <row r="171" spans="2:17" x14ac:dyDescent="0.3">
      <c r="B171" s="25"/>
      <c r="C171" s="25"/>
      <c r="D171" s="25"/>
      <c r="E171" s="25"/>
      <c r="F171" s="25"/>
      <c r="G171" s="25"/>
      <c r="H171" s="25"/>
      <c r="I171" s="25"/>
      <c r="J171" s="25"/>
      <c r="K171" s="25"/>
      <c r="L171" s="25"/>
      <c r="M171" s="25"/>
      <c r="N171" s="25"/>
      <c r="O171" s="25"/>
      <c r="P171" s="25"/>
      <c r="Q171" s="25"/>
    </row>
    <row r="172" spans="2:17" x14ac:dyDescent="0.3">
      <c r="B172" s="25"/>
      <c r="C172" s="25"/>
      <c r="D172" s="25"/>
      <c r="E172" s="25"/>
      <c r="F172" s="25"/>
      <c r="G172" s="25"/>
      <c r="H172" s="25"/>
      <c r="I172" s="25"/>
      <c r="J172" s="25"/>
      <c r="K172" s="25"/>
      <c r="L172" s="25"/>
      <c r="M172" s="25"/>
      <c r="N172" s="25"/>
      <c r="O172" s="25"/>
      <c r="P172" s="25"/>
      <c r="Q172" s="25"/>
    </row>
    <row r="173" spans="2:17" x14ac:dyDescent="0.3">
      <c r="B173" s="25"/>
      <c r="C173" s="25"/>
      <c r="D173" s="25"/>
      <c r="E173" s="25"/>
      <c r="F173" s="25"/>
      <c r="G173" s="25"/>
      <c r="H173" s="25"/>
      <c r="I173" s="25"/>
      <c r="J173" s="25"/>
      <c r="K173" s="25"/>
      <c r="L173" s="25"/>
      <c r="M173" s="25"/>
      <c r="N173" s="25"/>
      <c r="O173" s="25"/>
      <c r="P173" s="25"/>
      <c r="Q173" s="25"/>
    </row>
    <row r="174" spans="2:17" x14ac:dyDescent="0.3">
      <c r="B174" s="25"/>
      <c r="C174" s="25"/>
      <c r="D174" s="25"/>
      <c r="E174" s="25"/>
      <c r="F174" s="25"/>
      <c r="G174" s="25"/>
      <c r="H174" s="25"/>
      <c r="I174" s="25"/>
      <c r="J174" s="25"/>
      <c r="K174" s="25"/>
      <c r="L174" s="25"/>
      <c r="M174" s="25"/>
      <c r="N174" s="25"/>
      <c r="O174" s="25"/>
      <c r="P174" s="25"/>
      <c r="Q174" s="25"/>
    </row>
    <row r="175" spans="2:17" x14ac:dyDescent="0.3">
      <c r="B175" s="25"/>
      <c r="C175" s="25"/>
      <c r="D175" s="25"/>
      <c r="E175" s="25"/>
      <c r="F175" s="25"/>
      <c r="G175" s="25"/>
      <c r="H175" s="25"/>
      <c r="I175" s="25"/>
      <c r="J175" s="25"/>
      <c r="K175" s="25"/>
      <c r="L175" s="25"/>
      <c r="M175" s="25"/>
      <c r="N175" s="25"/>
      <c r="O175" s="25"/>
      <c r="P175" s="25"/>
      <c r="Q175" s="25"/>
    </row>
    <row r="176" spans="2:17" x14ac:dyDescent="0.3">
      <c r="B176" s="25"/>
      <c r="C176" s="25"/>
      <c r="D176" s="25"/>
      <c r="E176" s="25"/>
      <c r="F176" s="25"/>
      <c r="G176" s="25"/>
      <c r="H176" s="25"/>
      <c r="I176" s="25"/>
      <c r="J176" s="25"/>
      <c r="K176" s="25"/>
      <c r="L176" s="25"/>
      <c r="M176" s="25"/>
      <c r="N176" s="25"/>
      <c r="O176" s="25"/>
      <c r="P176" s="25"/>
      <c r="Q176" s="25"/>
    </row>
    <row r="177" spans="2:17" x14ac:dyDescent="0.3">
      <c r="B177" s="25"/>
      <c r="C177" s="25"/>
      <c r="D177" s="25"/>
      <c r="E177" s="25"/>
      <c r="F177" s="25"/>
      <c r="G177" s="25"/>
      <c r="H177" s="25"/>
      <c r="I177" s="25"/>
      <c r="J177" s="25"/>
      <c r="K177" s="25"/>
      <c r="L177" s="25"/>
      <c r="M177" s="25"/>
      <c r="N177" s="25"/>
      <c r="O177" s="25"/>
      <c r="P177" s="25"/>
      <c r="Q177" s="25"/>
    </row>
    <row r="178" spans="2:17" x14ac:dyDescent="0.3">
      <c r="B178" s="25"/>
      <c r="C178" s="25"/>
      <c r="D178" s="25"/>
      <c r="E178" s="25"/>
      <c r="F178" s="25"/>
      <c r="G178" s="25"/>
      <c r="H178" s="25"/>
      <c r="I178" s="25"/>
      <c r="J178" s="25"/>
      <c r="K178" s="25"/>
      <c r="L178" s="25"/>
      <c r="M178" s="25"/>
      <c r="N178" s="25"/>
      <c r="O178" s="25"/>
      <c r="P178" s="25"/>
      <c r="Q178" s="25"/>
    </row>
    <row r="179" spans="2:17" x14ac:dyDescent="0.3">
      <c r="B179" s="25"/>
      <c r="C179" s="25"/>
      <c r="D179" s="25"/>
      <c r="E179" s="25"/>
      <c r="F179" s="25"/>
      <c r="G179" s="25"/>
      <c r="H179" s="25"/>
      <c r="I179" s="25"/>
      <c r="J179" s="25"/>
      <c r="K179" s="25"/>
      <c r="L179" s="25"/>
      <c r="M179" s="25"/>
      <c r="N179" s="25"/>
      <c r="O179" s="25"/>
      <c r="P179" s="25"/>
      <c r="Q179" s="25"/>
    </row>
    <row r="180" spans="2:17" x14ac:dyDescent="0.3">
      <c r="B180" s="25"/>
      <c r="C180" s="25"/>
      <c r="D180" s="25"/>
      <c r="E180" s="25"/>
      <c r="F180" s="25"/>
      <c r="G180" s="25"/>
      <c r="H180" s="25"/>
      <c r="I180" s="25"/>
      <c r="J180" s="25"/>
      <c r="K180" s="25"/>
      <c r="L180" s="25"/>
      <c r="M180" s="25"/>
      <c r="N180" s="25"/>
      <c r="O180" s="25"/>
      <c r="P180" s="25"/>
      <c r="Q180" s="25"/>
    </row>
    <row r="181" spans="2:17" x14ac:dyDescent="0.3">
      <c r="B181" s="25"/>
      <c r="C181" s="25"/>
      <c r="D181" s="25"/>
      <c r="E181" s="25"/>
      <c r="F181" s="25"/>
      <c r="G181" s="25"/>
      <c r="H181" s="25"/>
      <c r="I181" s="25"/>
      <c r="J181" s="25"/>
      <c r="K181" s="25"/>
      <c r="L181" s="25"/>
      <c r="M181" s="25"/>
      <c r="N181" s="25"/>
      <c r="O181" s="25"/>
      <c r="P181" s="25"/>
      <c r="Q181" s="25"/>
    </row>
    <row r="182" spans="2:17" x14ac:dyDescent="0.3">
      <c r="B182" s="25"/>
      <c r="C182" s="25"/>
      <c r="D182" s="25"/>
      <c r="E182" s="25"/>
      <c r="F182" s="25"/>
      <c r="G182" s="25"/>
      <c r="H182" s="25"/>
      <c r="I182" s="25"/>
      <c r="J182" s="25"/>
      <c r="K182" s="25"/>
      <c r="L182" s="25"/>
      <c r="M182" s="25"/>
      <c r="N182" s="25"/>
      <c r="O182" s="25"/>
      <c r="P182" s="25"/>
      <c r="Q182" s="25"/>
    </row>
    <row r="183" spans="2:17" x14ac:dyDescent="0.3">
      <c r="B183" s="25"/>
      <c r="C183" s="25"/>
      <c r="D183" s="25"/>
      <c r="E183" s="25"/>
      <c r="F183" s="25"/>
      <c r="G183" s="25"/>
      <c r="H183" s="25"/>
      <c r="I183" s="25"/>
      <c r="J183" s="25"/>
      <c r="K183" s="25"/>
      <c r="L183" s="25"/>
      <c r="M183" s="25"/>
      <c r="N183" s="25"/>
      <c r="O183" s="25"/>
      <c r="P183" s="25"/>
      <c r="Q183" s="25"/>
    </row>
    <row r="184" spans="2:17" x14ac:dyDescent="0.3">
      <c r="B184" s="25"/>
      <c r="C184" s="25"/>
      <c r="D184" s="25"/>
      <c r="E184" s="25"/>
      <c r="F184" s="25"/>
      <c r="G184" s="25"/>
      <c r="H184" s="25"/>
      <c r="I184" s="25"/>
      <c r="J184" s="25"/>
      <c r="K184" s="25"/>
      <c r="L184" s="25"/>
      <c r="M184" s="25"/>
      <c r="N184" s="25"/>
      <c r="O184" s="25"/>
      <c r="P184" s="25"/>
      <c r="Q184" s="25"/>
    </row>
    <row r="185" spans="2:17" x14ac:dyDescent="0.3">
      <c r="B185" s="25"/>
      <c r="C185" s="25"/>
      <c r="D185" s="25"/>
      <c r="E185" s="25"/>
      <c r="F185" s="25"/>
      <c r="G185" s="25"/>
      <c r="H185" s="25"/>
      <c r="I185" s="25"/>
      <c r="J185" s="25"/>
      <c r="K185" s="25"/>
      <c r="L185" s="25"/>
      <c r="M185" s="25"/>
      <c r="N185" s="25"/>
      <c r="O185" s="25"/>
      <c r="P185" s="25"/>
      <c r="Q185" s="25"/>
    </row>
    <row r="186" spans="2:17" x14ac:dyDescent="0.3">
      <c r="B186" s="25"/>
      <c r="C186" s="25"/>
      <c r="D186" s="25"/>
      <c r="E186" s="25"/>
      <c r="F186" s="25"/>
      <c r="G186" s="25"/>
      <c r="H186" s="25"/>
      <c r="I186" s="25"/>
      <c r="J186" s="25"/>
      <c r="K186" s="25"/>
      <c r="L186" s="25"/>
      <c r="M186" s="25"/>
      <c r="N186" s="25"/>
      <c r="O186" s="25"/>
      <c r="P186" s="25"/>
      <c r="Q186" s="25"/>
    </row>
    <row r="187" spans="2:17" x14ac:dyDescent="0.3">
      <c r="B187" s="25"/>
      <c r="C187" s="25"/>
      <c r="D187" s="25"/>
      <c r="E187" s="25"/>
      <c r="F187" s="25"/>
      <c r="G187" s="25"/>
      <c r="H187" s="25"/>
      <c r="I187" s="25"/>
      <c r="J187" s="25"/>
      <c r="K187" s="25"/>
      <c r="L187" s="25"/>
      <c r="M187" s="25"/>
      <c r="N187" s="25"/>
      <c r="O187" s="25"/>
      <c r="P187" s="25"/>
      <c r="Q187" s="25"/>
    </row>
    <row r="188" spans="2:17" x14ac:dyDescent="0.3">
      <c r="B188" s="25"/>
      <c r="C188" s="25"/>
      <c r="D188" s="25"/>
      <c r="E188" s="25"/>
      <c r="F188" s="25"/>
      <c r="G188" s="25"/>
      <c r="H188" s="25"/>
      <c r="I188" s="25"/>
      <c r="J188" s="25"/>
      <c r="K188" s="25"/>
      <c r="L188" s="25"/>
      <c r="M188" s="25"/>
      <c r="N188" s="25"/>
      <c r="O188" s="25"/>
      <c r="P188" s="25"/>
      <c r="Q188" s="25"/>
    </row>
    <row r="189" spans="2:17" x14ac:dyDescent="0.3">
      <c r="B189" s="25"/>
      <c r="C189" s="25"/>
      <c r="D189" s="25"/>
      <c r="E189" s="25"/>
      <c r="F189" s="25"/>
      <c r="G189" s="25"/>
      <c r="H189" s="25"/>
      <c r="I189" s="25"/>
      <c r="J189" s="25"/>
      <c r="K189" s="25"/>
      <c r="L189" s="25"/>
      <c r="M189" s="25"/>
      <c r="N189" s="25"/>
      <c r="O189" s="25"/>
      <c r="P189" s="25"/>
      <c r="Q189" s="25"/>
    </row>
    <row r="190" spans="2:17" x14ac:dyDescent="0.3">
      <c r="B190" s="25"/>
      <c r="C190" s="25"/>
      <c r="D190" s="25"/>
      <c r="E190" s="25"/>
      <c r="F190" s="25"/>
      <c r="G190" s="25"/>
      <c r="H190" s="25"/>
      <c r="I190" s="25"/>
      <c r="J190" s="25"/>
      <c r="K190" s="25"/>
      <c r="L190" s="25"/>
      <c r="M190" s="25"/>
      <c r="N190" s="25"/>
      <c r="O190" s="25"/>
      <c r="P190" s="25"/>
      <c r="Q190" s="25"/>
    </row>
    <row r="191" spans="2:17" x14ac:dyDescent="0.3">
      <c r="B191" s="25"/>
      <c r="C191" s="25"/>
      <c r="D191" s="25"/>
      <c r="E191" s="25"/>
      <c r="F191" s="25"/>
      <c r="G191" s="25"/>
      <c r="H191" s="25"/>
      <c r="I191" s="25"/>
      <c r="J191" s="25"/>
      <c r="K191" s="25"/>
      <c r="L191" s="25"/>
      <c r="M191" s="25"/>
      <c r="N191" s="25"/>
      <c r="O191" s="25"/>
      <c r="P191" s="25"/>
      <c r="Q191" s="25"/>
    </row>
    <row r="192" spans="2:17" x14ac:dyDescent="0.3">
      <c r="B192" s="25"/>
      <c r="C192" s="25"/>
      <c r="D192" s="25"/>
      <c r="E192" s="25"/>
      <c r="F192" s="25"/>
      <c r="G192" s="25"/>
      <c r="H192" s="25"/>
      <c r="I192" s="25"/>
      <c r="J192" s="25"/>
      <c r="K192" s="25"/>
      <c r="L192" s="25"/>
      <c r="M192" s="25"/>
      <c r="N192" s="25"/>
      <c r="O192" s="25"/>
      <c r="P192" s="25"/>
      <c r="Q192" s="25"/>
    </row>
    <row r="193" spans="2:17" x14ac:dyDescent="0.3">
      <c r="B193" s="25"/>
      <c r="C193" s="25"/>
      <c r="D193" s="25"/>
      <c r="E193" s="25"/>
      <c r="F193" s="25"/>
      <c r="G193" s="25"/>
      <c r="H193" s="25"/>
      <c r="I193" s="25"/>
      <c r="J193" s="25"/>
      <c r="K193" s="25"/>
      <c r="L193" s="25"/>
      <c r="M193" s="25"/>
      <c r="N193" s="25"/>
      <c r="O193" s="25"/>
      <c r="P193" s="25"/>
      <c r="Q193" s="25"/>
    </row>
    <row r="194" spans="2:17" x14ac:dyDescent="0.3">
      <c r="B194" s="25"/>
      <c r="C194" s="25"/>
      <c r="D194" s="25"/>
      <c r="E194" s="25"/>
      <c r="F194" s="25"/>
      <c r="G194" s="25"/>
      <c r="H194" s="25"/>
      <c r="I194" s="25"/>
      <c r="J194" s="25"/>
      <c r="K194" s="25"/>
      <c r="L194" s="25"/>
      <c r="M194" s="25"/>
      <c r="N194" s="25"/>
      <c r="O194" s="25"/>
      <c r="P194" s="25"/>
      <c r="Q194" s="25"/>
    </row>
    <row r="195" spans="2:17" x14ac:dyDescent="0.3">
      <c r="B195" s="25"/>
      <c r="C195" s="25"/>
      <c r="D195" s="25"/>
      <c r="E195" s="25"/>
      <c r="F195" s="25"/>
      <c r="G195" s="25"/>
      <c r="H195" s="25"/>
      <c r="I195" s="25"/>
      <c r="J195" s="25"/>
      <c r="K195" s="25"/>
      <c r="L195" s="25"/>
      <c r="M195" s="25"/>
      <c r="N195" s="25"/>
      <c r="O195" s="25"/>
      <c r="P195" s="25"/>
      <c r="Q195" s="25"/>
    </row>
    <row r="196" spans="2:17" x14ac:dyDescent="0.3">
      <c r="B196" s="25"/>
      <c r="C196" s="25"/>
      <c r="D196" s="25"/>
      <c r="E196" s="25"/>
      <c r="F196" s="25"/>
      <c r="G196" s="25"/>
      <c r="H196" s="25"/>
      <c r="I196" s="25"/>
      <c r="J196" s="25"/>
      <c r="K196" s="25"/>
      <c r="L196" s="25"/>
      <c r="M196" s="25"/>
      <c r="N196" s="25"/>
      <c r="O196" s="25"/>
      <c r="P196" s="25"/>
      <c r="Q196" s="25"/>
    </row>
    <row r="197" spans="2:17" x14ac:dyDescent="0.3">
      <c r="B197" s="25"/>
      <c r="C197" s="25"/>
      <c r="D197" s="25"/>
      <c r="E197" s="25"/>
      <c r="F197" s="25"/>
      <c r="G197" s="25"/>
      <c r="H197" s="25"/>
      <c r="I197" s="25"/>
      <c r="J197" s="25"/>
      <c r="K197" s="25"/>
      <c r="L197" s="25"/>
      <c r="M197" s="25"/>
      <c r="N197" s="25"/>
      <c r="O197" s="25"/>
      <c r="P197" s="25"/>
      <c r="Q197" s="25"/>
    </row>
    <row r="198" spans="2:17" x14ac:dyDescent="0.3">
      <c r="B198" s="25"/>
      <c r="C198" s="25"/>
      <c r="D198" s="25"/>
      <c r="E198" s="25"/>
      <c r="F198" s="25"/>
      <c r="G198" s="25"/>
      <c r="H198" s="25"/>
      <c r="I198" s="25"/>
      <c r="J198" s="25"/>
      <c r="K198" s="25"/>
      <c r="L198" s="25"/>
      <c r="M198" s="25"/>
      <c r="N198" s="25"/>
      <c r="O198" s="25"/>
      <c r="P198" s="25"/>
      <c r="Q198" s="25"/>
    </row>
    <row r="199" spans="2:17" x14ac:dyDescent="0.3">
      <c r="B199" s="25"/>
      <c r="C199" s="25"/>
      <c r="D199" s="25"/>
      <c r="E199" s="25"/>
      <c r="F199" s="25"/>
      <c r="G199" s="25"/>
      <c r="H199" s="25"/>
      <c r="I199" s="25"/>
      <c r="J199" s="25"/>
      <c r="K199" s="25"/>
      <c r="L199" s="25"/>
      <c r="M199" s="25"/>
      <c r="N199" s="25"/>
      <c r="O199" s="25"/>
      <c r="P199" s="25"/>
      <c r="Q199" s="25"/>
    </row>
    <row r="200" spans="2:17" x14ac:dyDescent="0.3">
      <c r="B200" s="25"/>
      <c r="C200" s="25"/>
      <c r="D200" s="25"/>
      <c r="E200" s="25"/>
      <c r="F200" s="25"/>
      <c r="G200" s="25"/>
      <c r="H200" s="25"/>
      <c r="I200" s="25"/>
      <c r="J200" s="25"/>
      <c r="K200" s="25"/>
      <c r="L200" s="25"/>
      <c r="M200" s="25"/>
      <c r="N200" s="25"/>
      <c r="O200" s="25"/>
      <c r="P200" s="25"/>
      <c r="Q200" s="25"/>
    </row>
    <row r="201" spans="2:17" x14ac:dyDescent="0.3">
      <c r="B201" s="25"/>
      <c r="C201" s="25"/>
      <c r="D201" s="25"/>
      <c r="E201" s="25"/>
      <c r="F201" s="25"/>
      <c r="G201" s="25"/>
      <c r="H201" s="25"/>
      <c r="I201" s="25"/>
      <c r="J201" s="25"/>
      <c r="K201" s="25"/>
      <c r="L201" s="25"/>
      <c r="M201" s="25"/>
      <c r="N201" s="25"/>
      <c r="O201" s="25"/>
      <c r="P201" s="25"/>
      <c r="Q201" s="25"/>
    </row>
    <row r="202" spans="2:17" x14ac:dyDescent="0.3">
      <c r="B202" s="25"/>
      <c r="C202" s="25"/>
      <c r="D202" s="25"/>
      <c r="E202" s="25"/>
      <c r="F202" s="25"/>
      <c r="G202" s="25"/>
      <c r="H202" s="25"/>
      <c r="I202" s="25"/>
      <c r="J202" s="25"/>
      <c r="K202" s="25"/>
      <c r="L202" s="25"/>
      <c r="M202" s="25"/>
      <c r="N202" s="25"/>
      <c r="O202" s="25"/>
      <c r="P202" s="25"/>
      <c r="Q202" s="25"/>
    </row>
    <row r="203" spans="2:17" x14ac:dyDescent="0.3">
      <c r="B203" s="25"/>
      <c r="C203" s="25"/>
      <c r="D203" s="25"/>
      <c r="E203" s="25"/>
      <c r="F203" s="25"/>
      <c r="G203" s="25"/>
      <c r="H203" s="25"/>
      <c r="I203" s="25"/>
      <c r="J203" s="25"/>
      <c r="K203" s="25"/>
      <c r="L203" s="25"/>
      <c r="M203" s="25"/>
      <c r="N203" s="25"/>
      <c r="O203" s="25"/>
      <c r="P203" s="25"/>
      <c r="Q203" s="25"/>
    </row>
    <row r="204" spans="2:17" x14ac:dyDescent="0.3">
      <c r="B204" s="25"/>
      <c r="C204" s="25"/>
      <c r="D204" s="25"/>
      <c r="E204" s="25"/>
      <c r="F204" s="25"/>
      <c r="G204" s="25"/>
      <c r="H204" s="25"/>
      <c r="I204" s="25"/>
      <c r="J204" s="25"/>
      <c r="K204" s="25"/>
      <c r="L204" s="25"/>
      <c r="M204" s="25"/>
      <c r="N204" s="25"/>
      <c r="O204" s="25"/>
      <c r="P204" s="25"/>
      <c r="Q204" s="25"/>
    </row>
    <row r="205" spans="2:17" x14ac:dyDescent="0.3">
      <c r="B205" s="25"/>
      <c r="C205" s="25"/>
      <c r="D205" s="25"/>
      <c r="E205" s="25"/>
      <c r="F205" s="25"/>
      <c r="G205" s="25"/>
      <c r="H205" s="25"/>
      <c r="I205" s="25"/>
      <c r="J205" s="25"/>
      <c r="K205" s="25"/>
      <c r="L205" s="25"/>
      <c r="M205" s="25"/>
      <c r="N205" s="25"/>
      <c r="O205" s="25"/>
      <c r="P205" s="25"/>
      <c r="Q205" s="25"/>
    </row>
    <row r="206" spans="2:17" x14ac:dyDescent="0.3">
      <c r="B206" s="25"/>
      <c r="C206" s="25"/>
      <c r="D206" s="25"/>
      <c r="E206" s="25"/>
      <c r="F206" s="25"/>
      <c r="G206" s="25"/>
      <c r="H206" s="25"/>
      <c r="I206" s="25"/>
      <c r="J206" s="25"/>
      <c r="K206" s="25"/>
      <c r="L206" s="25"/>
      <c r="M206" s="25"/>
      <c r="N206" s="25"/>
      <c r="O206" s="25"/>
      <c r="P206" s="25"/>
      <c r="Q206" s="25"/>
    </row>
    <row r="207" spans="2:17" x14ac:dyDescent="0.3">
      <c r="B207" s="25"/>
      <c r="C207" s="25"/>
      <c r="D207" s="25"/>
      <c r="E207" s="25"/>
      <c r="F207" s="25"/>
      <c r="G207" s="25"/>
      <c r="H207" s="25"/>
      <c r="I207" s="25"/>
      <c r="J207" s="25"/>
      <c r="K207" s="25"/>
      <c r="L207" s="25"/>
      <c r="M207" s="25"/>
      <c r="N207" s="25"/>
      <c r="O207" s="25"/>
      <c r="P207" s="25"/>
      <c r="Q207" s="25"/>
    </row>
    <row r="208" spans="2:17" x14ac:dyDescent="0.3">
      <c r="B208" s="25"/>
      <c r="C208" s="25"/>
      <c r="D208" s="25"/>
      <c r="E208" s="25"/>
      <c r="F208" s="25"/>
      <c r="G208" s="25"/>
      <c r="H208" s="25"/>
      <c r="I208" s="25"/>
      <c r="J208" s="25"/>
      <c r="K208" s="25"/>
      <c r="L208" s="25"/>
      <c r="M208" s="25"/>
      <c r="N208" s="25"/>
      <c r="O208" s="25"/>
      <c r="P208" s="25"/>
      <c r="Q208" s="25"/>
    </row>
    <row r="209" spans="2:17" x14ac:dyDescent="0.3">
      <c r="B209" s="25"/>
      <c r="C209" s="25"/>
      <c r="D209" s="25"/>
      <c r="E209" s="25"/>
      <c r="F209" s="25"/>
      <c r="G209" s="25"/>
      <c r="H209" s="25"/>
      <c r="I209" s="25"/>
      <c r="J209" s="25"/>
      <c r="K209" s="25"/>
      <c r="L209" s="25"/>
      <c r="M209" s="25"/>
      <c r="N209" s="25"/>
      <c r="O209" s="25"/>
      <c r="P209" s="25"/>
      <c r="Q209" s="25"/>
    </row>
    <row r="210" spans="2:17" x14ac:dyDescent="0.3">
      <c r="B210" s="25"/>
      <c r="C210" s="25"/>
      <c r="D210" s="25"/>
      <c r="E210" s="25"/>
      <c r="F210" s="25"/>
      <c r="G210" s="25"/>
      <c r="H210" s="25"/>
      <c r="I210" s="25"/>
      <c r="J210" s="25"/>
      <c r="K210" s="25"/>
      <c r="L210" s="25"/>
      <c r="M210" s="25"/>
      <c r="N210" s="25"/>
      <c r="O210" s="25"/>
      <c r="P210" s="25"/>
      <c r="Q210" s="25"/>
    </row>
    <row r="211" spans="2:17" x14ac:dyDescent="0.3">
      <c r="B211" s="25"/>
      <c r="C211" s="25"/>
      <c r="D211" s="25"/>
      <c r="E211" s="25"/>
      <c r="F211" s="25"/>
      <c r="G211" s="25"/>
      <c r="H211" s="25"/>
      <c r="I211" s="25"/>
      <c r="J211" s="25"/>
      <c r="K211" s="25"/>
      <c r="L211" s="25"/>
      <c r="M211" s="25"/>
      <c r="N211" s="25"/>
      <c r="O211" s="25"/>
      <c r="P211" s="25"/>
      <c r="Q211" s="25"/>
    </row>
    <row r="212" spans="2:17" x14ac:dyDescent="0.3">
      <c r="B212" s="25"/>
      <c r="C212" s="25"/>
      <c r="D212" s="25"/>
      <c r="E212" s="25"/>
      <c r="F212" s="25"/>
      <c r="G212" s="25"/>
      <c r="H212" s="25"/>
      <c r="I212" s="25"/>
      <c r="J212" s="25"/>
      <c r="K212" s="25"/>
      <c r="L212" s="25"/>
      <c r="M212" s="25"/>
      <c r="N212" s="25"/>
      <c r="O212" s="25"/>
      <c r="P212" s="25"/>
      <c r="Q212" s="25"/>
    </row>
    <row r="213" spans="2:17" x14ac:dyDescent="0.3">
      <c r="B213" s="25"/>
      <c r="C213" s="25"/>
      <c r="D213" s="25"/>
      <c r="E213" s="25"/>
      <c r="F213" s="25"/>
      <c r="G213" s="25"/>
      <c r="H213" s="25"/>
      <c r="I213" s="25"/>
      <c r="J213" s="25"/>
      <c r="K213" s="25"/>
      <c r="L213" s="25"/>
      <c r="M213" s="25"/>
      <c r="N213" s="25"/>
      <c r="O213" s="25"/>
      <c r="P213" s="25"/>
      <c r="Q213" s="25"/>
    </row>
    <row r="214" spans="2:17" x14ac:dyDescent="0.3">
      <c r="B214" s="25"/>
      <c r="C214" s="25"/>
      <c r="D214" s="25"/>
      <c r="E214" s="25"/>
      <c r="F214" s="25"/>
      <c r="G214" s="25"/>
      <c r="H214" s="25"/>
      <c r="I214" s="25"/>
      <c r="J214" s="25"/>
      <c r="K214" s="25"/>
      <c r="L214" s="25"/>
      <c r="M214" s="25"/>
      <c r="N214" s="25"/>
      <c r="O214" s="25"/>
      <c r="P214" s="25"/>
      <c r="Q214" s="25"/>
    </row>
    <row r="215" spans="2:17" x14ac:dyDescent="0.3">
      <c r="B215" s="25"/>
      <c r="C215" s="25"/>
      <c r="D215" s="25"/>
      <c r="E215" s="25"/>
      <c r="F215" s="25"/>
      <c r="G215" s="25"/>
      <c r="H215" s="25"/>
      <c r="I215" s="25"/>
      <c r="J215" s="25"/>
      <c r="K215" s="25"/>
      <c r="L215" s="25"/>
      <c r="M215" s="25"/>
      <c r="N215" s="25"/>
      <c r="O215" s="25"/>
      <c r="P215" s="25"/>
      <c r="Q215" s="25"/>
    </row>
    <row r="216" spans="2:17" x14ac:dyDescent="0.3">
      <c r="B216" s="25"/>
      <c r="C216" s="25"/>
      <c r="D216" s="25"/>
      <c r="E216" s="25"/>
      <c r="F216" s="25"/>
      <c r="G216" s="25"/>
      <c r="H216" s="25"/>
      <c r="I216" s="25"/>
      <c r="J216" s="25"/>
      <c r="K216" s="25"/>
      <c r="L216" s="25"/>
      <c r="M216" s="25"/>
      <c r="N216" s="25"/>
      <c r="O216" s="25"/>
      <c r="P216" s="25"/>
      <c r="Q216" s="25"/>
    </row>
    <row r="217" spans="2:17" x14ac:dyDescent="0.3">
      <c r="B217" s="25"/>
      <c r="C217" s="25"/>
      <c r="D217" s="25"/>
      <c r="E217" s="25"/>
      <c r="F217" s="25"/>
      <c r="G217" s="25"/>
      <c r="H217" s="25"/>
      <c r="I217" s="25"/>
      <c r="J217" s="25"/>
      <c r="K217" s="25"/>
      <c r="L217" s="25"/>
      <c r="M217" s="25"/>
      <c r="N217" s="25"/>
      <c r="O217" s="25"/>
      <c r="P217" s="25"/>
      <c r="Q217" s="25"/>
    </row>
    <row r="218" spans="2:17" x14ac:dyDescent="0.3">
      <c r="B218" s="25"/>
      <c r="C218" s="25"/>
      <c r="D218" s="25"/>
      <c r="E218" s="25"/>
      <c r="F218" s="25"/>
      <c r="G218" s="25"/>
      <c r="H218" s="25"/>
      <c r="I218" s="25"/>
      <c r="J218" s="25"/>
      <c r="K218" s="25"/>
      <c r="L218" s="25"/>
      <c r="M218" s="25"/>
      <c r="N218" s="25"/>
      <c r="O218" s="25"/>
      <c r="P218" s="25"/>
      <c r="Q218" s="25"/>
    </row>
    <row r="219" spans="2:17" x14ac:dyDescent="0.3">
      <c r="B219" s="25"/>
      <c r="C219" s="25"/>
      <c r="D219" s="25"/>
      <c r="E219" s="25"/>
      <c r="F219" s="25"/>
      <c r="G219" s="25"/>
      <c r="H219" s="25"/>
      <c r="I219" s="25"/>
      <c r="J219" s="25"/>
      <c r="K219" s="25"/>
      <c r="L219" s="25"/>
      <c r="M219" s="25"/>
      <c r="N219" s="25"/>
      <c r="O219" s="25"/>
      <c r="P219" s="25"/>
      <c r="Q219" s="25"/>
    </row>
    <row r="220" spans="2:17" x14ac:dyDescent="0.3">
      <c r="B220" s="25"/>
      <c r="C220" s="25"/>
      <c r="D220" s="25"/>
      <c r="E220" s="25"/>
      <c r="F220" s="25"/>
      <c r="G220" s="25"/>
      <c r="H220" s="25"/>
      <c r="I220" s="25"/>
      <c r="J220" s="25"/>
      <c r="K220" s="25"/>
      <c r="L220" s="25"/>
      <c r="M220" s="25"/>
      <c r="N220" s="25"/>
      <c r="O220" s="25"/>
      <c r="P220" s="25"/>
      <c r="Q220" s="25"/>
    </row>
    <row r="221" spans="2:17" x14ac:dyDescent="0.3">
      <c r="B221" s="25"/>
      <c r="C221" s="25"/>
      <c r="D221" s="25"/>
      <c r="E221" s="25"/>
      <c r="F221" s="25"/>
      <c r="G221" s="25"/>
      <c r="H221" s="25"/>
      <c r="I221" s="25"/>
      <c r="J221" s="25"/>
      <c r="K221" s="25"/>
      <c r="L221" s="25"/>
      <c r="M221" s="25"/>
      <c r="N221" s="25"/>
      <c r="O221" s="25"/>
      <c r="P221" s="25"/>
      <c r="Q221" s="25"/>
    </row>
    <row r="222" spans="2:17" x14ac:dyDescent="0.3">
      <c r="B222" s="25"/>
      <c r="C222" s="25"/>
      <c r="D222" s="25"/>
      <c r="E222" s="25"/>
      <c r="F222" s="25"/>
      <c r="G222" s="25"/>
      <c r="H222" s="25"/>
      <c r="I222" s="25"/>
      <c r="J222" s="25"/>
      <c r="K222" s="25"/>
      <c r="L222" s="25"/>
      <c r="M222" s="25"/>
      <c r="N222" s="25"/>
      <c r="O222" s="25"/>
      <c r="P222" s="25"/>
      <c r="Q222" s="25"/>
    </row>
    <row r="223" spans="2:17" x14ac:dyDescent="0.3">
      <c r="B223" s="25"/>
      <c r="C223" s="25"/>
      <c r="D223" s="25"/>
      <c r="E223" s="25"/>
      <c r="F223" s="25"/>
      <c r="G223" s="25"/>
      <c r="H223" s="25"/>
      <c r="I223" s="25"/>
      <c r="J223" s="25"/>
      <c r="K223" s="25"/>
      <c r="L223" s="25"/>
      <c r="M223" s="25"/>
      <c r="N223" s="25"/>
      <c r="O223" s="25"/>
      <c r="P223" s="25"/>
      <c r="Q223" s="25"/>
    </row>
    <row r="224" spans="2:17" x14ac:dyDescent="0.3">
      <c r="B224" s="25"/>
      <c r="C224" s="25"/>
      <c r="D224" s="25"/>
      <c r="E224" s="25"/>
      <c r="F224" s="25"/>
      <c r="G224" s="25"/>
      <c r="H224" s="25"/>
      <c r="I224" s="25"/>
      <c r="J224" s="25"/>
      <c r="K224" s="25"/>
      <c r="L224" s="25"/>
      <c r="M224" s="25"/>
      <c r="N224" s="25"/>
      <c r="O224" s="25"/>
      <c r="P224" s="25"/>
      <c r="Q224" s="25"/>
    </row>
    <row r="225" spans="2:17" x14ac:dyDescent="0.3">
      <c r="B225" s="25"/>
      <c r="C225" s="25"/>
      <c r="D225" s="25"/>
      <c r="E225" s="25"/>
      <c r="F225" s="25"/>
      <c r="G225" s="25"/>
      <c r="H225" s="25"/>
      <c r="I225" s="25"/>
      <c r="J225" s="25"/>
      <c r="K225" s="25"/>
      <c r="L225" s="25"/>
      <c r="M225" s="25"/>
      <c r="N225" s="25"/>
      <c r="O225" s="25"/>
      <c r="P225" s="25"/>
      <c r="Q225" s="25"/>
    </row>
    <row r="226" spans="2:17" x14ac:dyDescent="0.3">
      <c r="B226" s="25"/>
      <c r="C226" s="25"/>
      <c r="D226" s="25"/>
      <c r="E226" s="25"/>
      <c r="F226" s="25"/>
      <c r="G226" s="25"/>
      <c r="H226" s="25"/>
      <c r="I226" s="25"/>
      <c r="J226" s="25"/>
      <c r="K226" s="25"/>
      <c r="L226" s="25"/>
      <c r="M226" s="25"/>
      <c r="N226" s="25"/>
      <c r="O226" s="25"/>
      <c r="P226" s="25"/>
      <c r="Q226" s="25"/>
    </row>
    <row r="227" spans="2:17" x14ac:dyDescent="0.3">
      <c r="B227" s="25"/>
      <c r="C227" s="25"/>
      <c r="D227" s="25"/>
      <c r="E227" s="25"/>
      <c r="F227" s="25"/>
      <c r="G227" s="25"/>
      <c r="H227" s="25"/>
      <c r="I227" s="25"/>
      <c r="J227" s="25"/>
      <c r="K227" s="25"/>
      <c r="L227" s="25"/>
      <c r="M227" s="25"/>
      <c r="N227" s="25"/>
      <c r="O227" s="25"/>
      <c r="P227" s="25"/>
      <c r="Q227" s="25"/>
    </row>
    <row r="228" spans="2:17" x14ac:dyDescent="0.3">
      <c r="B228" s="25"/>
      <c r="C228" s="25"/>
      <c r="D228" s="25"/>
      <c r="E228" s="25"/>
      <c r="F228" s="25"/>
      <c r="G228" s="25"/>
      <c r="H228" s="25"/>
      <c r="I228" s="25"/>
      <c r="J228" s="25"/>
      <c r="K228" s="25"/>
      <c r="L228" s="25"/>
      <c r="M228" s="25"/>
      <c r="N228" s="25"/>
      <c r="O228" s="25"/>
      <c r="P228" s="25"/>
      <c r="Q228" s="25"/>
    </row>
    <row r="229" spans="2:17" x14ac:dyDescent="0.3">
      <c r="B229" s="25"/>
      <c r="C229" s="25"/>
      <c r="D229" s="25"/>
      <c r="E229" s="25"/>
      <c r="F229" s="25"/>
      <c r="G229" s="25"/>
      <c r="H229" s="25"/>
      <c r="I229" s="25"/>
      <c r="J229" s="25"/>
      <c r="K229" s="25"/>
      <c r="L229" s="25"/>
      <c r="M229" s="25"/>
      <c r="N229" s="25"/>
      <c r="O229" s="25"/>
      <c r="P229" s="25"/>
      <c r="Q229" s="25"/>
    </row>
    <row r="230" spans="2:17" x14ac:dyDescent="0.3">
      <c r="B230" s="25"/>
      <c r="C230" s="25"/>
      <c r="D230" s="25"/>
      <c r="E230" s="25"/>
      <c r="F230" s="25"/>
      <c r="G230" s="25"/>
      <c r="H230" s="25"/>
      <c r="I230" s="25"/>
      <c r="J230" s="25"/>
      <c r="K230" s="25"/>
      <c r="L230" s="25"/>
      <c r="M230" s="25"/>
      <c r="N230" s="25"/>
      <c r="O230" s="25"/>
      <c r="P230" s="25"/>
      <c r="Q230" s="25"/>
    </row>
    <row r="231" spans="2:17" x14ac:dyDescent="0.3">
      <c r="B231" s="25"/>
      <c r="C231" s="25"/>
      <c r="D231" s="25"/>
      <c r="E231" s="25"/>
      <c r="F231" s="25"/>
      <c r="G231" s="25"/>
      <c r="H231" s="25"/>
      <c r="I231" s="25"/>
      <c r="J231" s="25"/>
      <c r="K231" s="25"/>
      <c r="L231" s="25"/>
      <c r="M231" s="25"/>
      <c r="N231" s="25"/>
      <c r="O231" s="25"/>
      <c r="P231" s="25"/>
      <c r="Q231" s="25"/>
    </row>
    <row r="232" spans="2:17" x14ac:dyDescent="0.3">
      <c r="B232" s="25"/>
      <c r="C232" s="25"/>
      <c r="D232" s="25"/>
      <c r="E232" s="25"/>
      <c r="F232" s="25"/>
      <c r="G232" s="25"/>
      <c r="H232" s="25"/>
      <c r="I232" s="25"/>
      <c r="J232" s="25"/>
      <c r="K232" s="25"/>
      <c r="L232" s="25"/>
      <c r="M232" s="25"/>
      <c r="N232" s="25"/>
      <c r="O232" s="25"/>
      <c r="P232" s="25"/>
      <c r="Q232" s="25"/>
    </row>
    <row r="233" spans="2:17" x14ac:dyDescent="0.3">
      <c r="B233" s="25"/>
      <c r="C233" s="25"/>
      <c r="D233" s="25"/>
      <c r="E233" s="25"/>
      <c r="F233" s="25"/>
      <c r="G233" s="25"/>
      <c r="H233" s="25"/>
      <c r="I233" s="25"/>
      <c r="J233" s="25"/>
      <c r="K233" s="25"/>
      <c r="L233" s="25"/>
      <c r="M233" s="25"/>
      <c r="N233" s="25"/>
      <c r="O233" s="25"/>
      <c r="P233" s="25"/>
      <c r="Q233" s="25"/>
    </row>
    <row r="234" spans="2:17" x14ac:dyDescent="0.3">
      <c r="B234" s="25"/>
      <c r="C234" s="25"/>
      <c r="D234" s="25"/>
      <c r="E234" s="25"/>
      <c r="F234" s="25"/>
      <c r="G234" s="25"/>
      <c r="H234" s="25"/>
      <c r="I234" s="25"/>
      <c r="J234" s="25"/>
      <c r="K234" s="25"/>
      <c r="L234" s="25"/>
      <c r="M234" s="25"/>
      <c r="N234" s="25"/>
      <c r="O234" s="25"/>
      <c r="P234" s="25"/>
      <c r="Q234" s="25"/>
    </row>
    <row r="235" spans="2:17" x14ac:dyDescent="0.3">
      <c r="B235" s="25"/>
      <c r="C235" s="25"/>
      <c r="D235" s="25"/>
      <c r="E235" s="25"/>
      <c r="F235" s="25"/>
      <c r="G235" s="25"/>
      <c r="H235" s="25"/>
      <c r="I235" s="25"/>
      <c r="J235" s="25"/>
      <c r="K235" s="25"/>
      <c r="L235" s="25"/>
      <c r="M235" s="25"/>
      <c r="N235" s="25"/>
      <c r="O235" s="25"/>
      <c r="P235" s="25"/>
      <c r="Q235" s="25"/>
    </row>
    <row r="236" spans="2:17" x14ac:dyDescent="0.3">
      <c r="B236" s="25"/>
      <c r="C236" s="25"/>
      <c r="D236" s="25"/>
      <c r="E236" s="25"/>
      <c r="F236" s="25"/>
      <c r="G236" s="25"/>
      <c r="H236" s="25"/>
      <c r="I236" s="25"/>
      <c r="J236" s="25"/>
      <c r="K236" s="25"/>
      <c r="L236" s="25"/>
      <c r="M236" s="25"/>
      <c r="N236" s="25"/>
      <c r="O236" s="25"/>
      <c r="P236" s="25"/>
      <c r="Q236" s="25"/>
    </row>
    <row r="237" spans="2:17" x14ac:dyDescent="0.3">
      <c r="B237" s="25"/>
      <c r="C237" s="25"/>
      <c r="D237" s="25"/>
      <c r="E237" s="25"/>
      <c r="F237" s="25"/>
      <c r="G237" s="25"/>
      <c r="H237" s="25"/>
      <c r="I237" s="25"/>
      <c r="J237" s="25"/>
      <c r="K237" s="25"/>
      <c r="L237" s="25"/>
      <c r="M237" s="25"/>
      <c r="N237" s="25"/>
      <c r="O237" s="25"/>
      <c r="P237" s="25"/>
      <c r="Q237" s="25"/>
    </row>
    <row r="238" spans="2:17" x14ac:dyDescent="0.3">
      <c r="B238" s="25"/>
      <c r="C238" s="25"/>
      <c r="D238" s="25"/>
      <c r="E238" s="25"/>
      <c r="F238" s="25"/>
      <c r="G238" s="25"/>
      <c r="H238" s="25"/>
      <c r="I238" s="25"/>
      <c r="J238" s="25"/>
      <c r="K238" s="25"/>
      <c r="L238" s="25"/>
      <c r="M238" s="25"/>
      <c r="N238" s="25"/>
      <c r="O238" s="25"/>
      <c r="P238" s="25"/>
      <c r="Q238" s="25"/>
    </row>
    <row r="239" spans="2:17" x14ac:dyDescent="0.3">
      <c r="B239" s="25"/>
      <c r="C239" s="25"/>
      <c r="D239" s="25"/>
      <c r="E239" s="25"/>
      <c r="F239" s="25"/>
      <c r="G239" s="25"/>
      <c r="H239" s="25"/>
      <c r="I239" s="25"/>
      <c r="J239" s="25"/>
      <c r="K239" s="25"/>
      <c r="L239" s="25"/>
      <c r="M239" s="25"/>
      <c r="N239" s="25"/>
      <c r="O239" s="25"/>
      <c r="P239" s="25"/>
      <c r="Q239" s="25"/>
    </row>
    <row r="240" spans="2:17" x14ac:dyDescent="0.3">
      <c r="B240" s="25"/>
      <c r="C240" s="25"/>
      <c r="D240" s="25"/>
      <c r="E240" s="25"/>
      <c r="F240" s="25"/>
      <c r="G240" s="25"/>
      <c r="H240" s="25"/>
      <c r="I240" s="25"/>
      <c r="J240" s="25"/>
      <c r="K240" s="25"/>
      <c r="L240" s="25"/>
      <c r="M240" s="25"/>
      <c r="N240" s="25"/>
      <c r="O240" s="25"/>
      <c r="P240" s="25"/>
      <c r="Q240" s="25"/>
    </row>
    <row r="241" spans="2:17" x14ac:dyDescent="0.3">
      <c r="B241" s="25"/>
      <c r="C241" s="25"/>
      <c r="D241" s="25"/>
      <c r="E241" s="25"/>
      <c r="F241" s="25"/>
      <c r="G241" s="25"/>
      <c r="H241" s="25"/>
      <c r="I241" s="25"/>
      <c r="J241" s="25"/>
      <c r="K241" s="25"/>
      <c r="L241" s="25"/>
      <c r="M241" s="25"/>
      <c r="N241" s="25"/>
      <c r="O241" s="25"/>
      <c r="P241" s="25"/>
      <c r="Q241" s="25"/>
    </row>
    <row r="242" spans="2:17" x14ac:dyDescent="0.3">
      <c r="B242" s="25"/>
      <c r="C242" s="25"/>
      <c r="D242" s="25"/>
      <c r="E242" s="25"/>
      <c r="F242" s="25"/>
      <c r="G242" s="25"/>
      <c r="H242" s="25"/>
      <c r="I242" s="25"/>
      <c r="J242" s="25"/>
      <c r="K242" s="25"/>
      <c r="L242" s="25"/>
      <c r="M242" s="25"/>
      <c r="N242" s="25"/>
      <c r="O242" s="25"/>
      <c r="P242" s="25"/>
      <c r="Q242" s="25"/>
    </row>
    <row r="243" spans="2:17" x14ac:dyDescent="0.3">
      <c r="B243" s="25"/>
      <c r="C243" s="25"/>
      <c r="D243" s="25"/>
      <c r="E243" s="25"/>
      <c r="F243" s="25"/>
      <c r="G243" s="25"/>
      <c r="H243" s="25"/>
      <c r="I243" s="25"/>
      <c r="J243" s="25"/>
      <c r="K243" s="25"/>
      <c r="L243" s="25"/>
      <c r="M243" s="25"/>
      <c r="N243" s="25"/>
      <c r="O243" s="25"/>
      <c r="P243" s="25"/>
      <c r="Q243" s="25"/>
    </row>
    <row r="244" spans="2:17" x14ac:dyDescent="0.3">
      <c r="B244" s="25"/>
      <c r="C244" s="25"/>
      <c r="D244" s="25"/>
      <c r="E244" s="25"/>
      <c r="F244" s="25"/>
      <c r="G244" s="25"/>
      <c r="H244" s="25"/>
      <c r="I244" s="25"/>
      <c r="J244" s="25"/>
      <c r="K244" s="25"/>
      <c r="L244" s="25"/>
      <c r="M244" s="25"/>
      <c r="N244" s="25"/>
      <c r="O244" s="25"/>
      <c r="P244" s="25"/>
      <c r="Q244" s="25"/>
    </row>
    <row r="245" spans="2:17" x14ac:dyDescent="0.3">
      <c r="B245" s="25"/>
      <c r="C245" s="25"/>
      <c r="D245" s="25"/>
      <c r="E245" s="25"/>
      <c r="F245" s="25"/>
      <c r="G245" s="25"/>
      <c r="H245" s="25"/>
      <c r="I245" s="25"/>
      <c r="J245" s="25"/>
      <c r="K245" s="25"/>
      <c r="L245" s="25"/>
      <c r="M245" s="25"/>
      <c r="N245" s="25"/>
      <c r="O245" s="25"/>
      <c r="P245" s="25"/>
      <c r="Q245" s="25"/>
    </row>
    <row r="246" spans="2:17" x14ac:dyDescent="0.3">
      <c r="B246" s="25"/>
      <c r="C246" s="25"/>
      <c r="D246" s="25"/>
      <c r="E246" s="25"/>
      <c r="F246" s="25"/>
      <c r="G246" s="25"/>
      <c r="H246" s="25"/>
      <c r="I246" s="25"/>
      <c r="J246" s="25"/>
      <c r="K246" s="25"/>
      <c r="L246" s="25"/>
      <c r="M246" s="25"/>
      <c r="N246" s="25"/>
      <c r="O246" s="25"/>
      <c r="P246" s="25"/>
      <c r="Q246" s="25"/>
    </row>
    <row r="247" spans="2:17" x14ac:dyDescent="0.3">
      <c r="B247" s="25"/>
      <c r="C247" s="25"/>
      <c r="D247" s="25"/>
      <c r="E247" s="25"/>
      <c r="F247" s="25"/>
      <c r="G247" s="25"/>
      <c r="H247" s="25"/>
      <c r="I247" s="25"/>
      <c r="J247" s="25"/>
      <c r="K247" s="25"/>
      <c r="L247" s="25"/>
      <c r="M247" s="25"/>
      <c r="N247" s="25"/>
      <c r="O247" s="25"/>
      <c r="P247" s="25"/>
      <c r="Q247" s="25"/>
    </row>
    <row r="248" spans="2:17" x14ac:dyDescent="0.3">
      <c r="B248" s="25"/>
      <c r="C248" s="25"/>
      <c r="D248" s="25"/>
      <c r="E248" s="25"/>
      <c r="F248" s="25"/>
      <c r="G248" s="25"/>
      <c r="H248" s="25"/>
      <c r="I248" s="25"/>
      <c r="J248" s="25"/>
      <c r="K248" s="25"/>
      <c r="L248" s="25"/>
      <c r="M248" s="25"/>
      <c r="N248" s="25"/>
      <c r="O248" s="25"/>
      <c r="P248" s="25"/>
      <c r="Q248" s="25"/>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Аркуші</vt:lpstr>
      </vt:variant>
      <vt:variant>
        <vt:i4>37</vt:i4>
      </vt:variant>
      <vt:variant>
        <vt:lpstr>Діаграми</vt:lpstr>
      </vt:variant>
      <vt:variant>
        <vt:i4>25</vt:i4>
      </vt:variant>
      <vt:variant>
        <vt:lpstr>Іменовані діапазони</vt:lpstr>
      </vt:variant>
      <vt:variant>
        <vt:i4>104</vt:i4>
      </vt:variant>
    </vt:vector>
  </HeadingPairs>
  <TitlesOfParts>
    <vt:vector size="166" baseType="lpstr">
      <vt:lpstr>MTK2_UAH</vt:lpstr>
      <vt:lpstr>MTK2_USD</vt:lpstr>
      <vt:lpstr>MKT2_UAH</vt:lpstr>
      <vt:lpstr>MKT2_USD</vt:lpstr>
      <vt:lpstr>MT_ALL</vt:lpstr>
      <vt:lpstr>MTM_ALL</vt:lpstr>
      <vt:lpstr>MK_ALL</vt:lpstr>
      <vt:lpstr>SRATE_M</vt:lpstr>
      <vt:lpstr>SRATE</vt:lpstr>
      <vt:lpstr>RATE_M</vt:lpstr>
      <vt:lpstr>RATE</vt:lpstr>
      <vt:lpstr>RATE_CMP</vt:lpstr>
      <vt:lpstr>CUR_M</vt:lpstr>
      <vt:lpstr>CUR</vt:lpstr>
      <vt:lpstr>CUR_CMP</vt:lpstr>
      <vt:lpstr>CUR_M_EXT</vt:lpstr>
      <vt:lpstr>CUR_CMP_EXT</vt:lpstr>
      <vt:lpstr>DKT1</vt:lpstr>
      <vt:lpstr>DKT2</vt:lpstr>
      <vt:lpstr>DTK2</vt:lpstr>
      <vt:lpstr>DKR</vt:lpstr>
      <vt:lpstr>DKR2</vt:lpstr>
      <vt:lpstr>YT_ALL</vt:lpstr>
      <vt:lpstr>YTM_ALL</vt:lpstr>
      <vt:lpstr>YKM_ALL</vt:lpstr>
      <vt:lpstr>YK_ALL</vt:lpstr>
      <vt:lpstr>YKT2_UAH</vt:lpstr>
      <vt:lpstr>YKT2_USD</vt:lpstr>
      <vt:lpstr>KIND_CMP</vt:lpstr>
      <vt:lpstr>DTR</vt:lpstr>
      <vt:lpstr>DEBT_TERM</vt:lpstr>
      <vt:lpstr>K_ALL</vt:lpstr>
      <vt:lpstr>T_ALL</vt:lpstr>
      <vt:lpstr>YKT2_PRC</vt:lpstr>
      <vt:lpstr>TBL1</vt:lpstr>
      <vt:lpstr>DATA</vt:lpstr>
      <vt:lpstr>AVGRATE_DETAIL</vt:lpstr>
      <vt:lpstr>MK_UAHD</vt:lpstr>
      <vt:lpstr>MK_USDD</vt:lpstr>
      <vt:lpstr>K_ALLD</vt:lpstr>
      <vt:lpstr>T_ALLD</vt:lpstr>
      <vt:lpstr>MT_UAHD</vt:lpstr>
      <vt:lpstr>MT_USDD</vt:lpstr>
      <vt:lpstr>SRATED</vt:lpstr>
      <vt:lpstr>RATED</vt:lpstr>
      <vt:lpstr>RATEDS</vt:lpstr>
      <vt:lpstr>CURD</vt:lpstr>
      <vt:lpstr>CURDS</vt:lpstr>
      <vt:lpstr>DKRD</vt:lpstr>
      <vt:lpstr>DKR2DSTATE</vt:lpstr>
      <vt:lpstr>DKR2DGUAR</vt:lpstr>
      <vt:lpstr>YT_ALL_USD_D</vt:lpstr>
      <vt:lpstr>YT_ALL_UAH_D</vt:lpstr>
      <vt:lpstr>YT_ALL_PER_D</vt:lpstr>
      <vt:lpstr>YTM_ALL_UAH_D</vt:lpstr>
      <vt:lpstr>YTM_ALL_USD_D</vt:lpstr>
      <vt:lpstr>YKM_ALL_UAH_D</vt:lpstr>
      <vt:lpstr>YKM_ALL_USD_D</vt:lpstr>
      <vt:lpstr>KINDD</vt:lpstr>
      <vt:lpstr>DTRD</vt:lpstr>
      <vt:lpstr>DEBT_TERM1</vt:lpstr>
      <vt:lpstr>DEBT_TERM2</vt:lpstr>
      <vt:lpstr>AMOUNT_OF_DEBT</vt:lpstr>
      <vt:lpstr>AVERAGE_CIRCULATION</vt:lpstr>
      <vt:lpstr>AVERAGE_RATE</vt:lpstr>
      <vt:lpstr>AVERAGE_TO_REPAYMENT</vt:lpstr>
      <vt:lpstr>AVGDTERM</vt:lpstr>
      <vt:lpstr>BY_AVERAGE_TERM</vt:lpstr>
      <vt:lpstr>BY_CREDITOR_TYPE</vt:lpstr>
      <vt:lpstr>BY_INTEREST_RATE</vt:lpstr>
      <vt:lpstr>BY_REPAYMENT_CURR</vt:lpstr>
      <vt:lpstr>CHANGE_OF_STRUCTURE</vt:lpstr>
      <vt:lpstr>CK_05</vt:lpstr>
      <vt:lpstr>CK_05C6</vt:lpstr>
      <vt:lpstr>CK_05G6</vt:lpstr>
      <vt:lpstr>CKMDUAH</vt:lpstr>
      <vt:lpstr>CKMDUSD</vt:lpstr>
      <vt:lpstr>CKMPERC</vt:lpstr>
      <vt:lpstr>CKMUAH</vt:lpstr>
      <vt:lpstr>CKMUSD</vt:lpstr>
      <vt:lpstr>CUR_CMP1</vt:lpstr>
      <vt:lpstr>CUR_CMPD4</vt:lpstr>
      <vt:lpstr>CUR_CMPD5</vt:lpstr>
      <vt:lpstr>CUR_CMPEXT</vt:lpstr>
      <vt:lpstr>CUR_CMPEXTD4</vt:lpstr>
      <vt:lpstr>CUR_CMPEXTD5</vt:lpstr>
      <vt:lpstr>CUR_CMPEXTKD4</vt:lpstr>
      <vt:lpstr>CUR_CMPEXTKD5</vt:lpstr>
      <vt:lpstr>CUR_CMPEXTKIND</vt:lpstr>
      <vt:lpstr>CUR_CMPS1</vt:lpstr>
      <vt:lpstr>CUR_CMPS1D4</vt:lpstr>
      <vt:lpstr>CUR_CMPS1D5</vt:lpstr>
      <vt:lpstr>CUR_CMPS2</vt:lpstr>
      <vt:lpstr>CUR_CMPS2D4</vt:lpstr>
      <vt:lpstr>CUR_CMPS2D5</vt:lpstr>
      <vt:lpstr>CURNAME</vt:lpstr>
      <vt:lpstr>CURNAMECUR</vt:lpstr>
      <vt:lpstr>CURNAMEKIND</vt:lpstr>
      <vt:lpstr>DDELIMER</vt:lpstr>
      <vt:lpstr>DEBT_AS_OF_CURR_YEAR</vt:lpstr>
      <vt:lpstr>DEBT_AS_OF_DATE</vt:lpstr>
      <vt:lpstr>DEBT_AS_OF_DATE_BY_AVARAGE_TERM</vt:lpstr>
      <vt:lpstr>DEBT_BY_CONVENTIONAKITY</vt:lpstr>
      <vt:lpstr>DEBT_BY_RATE_TYPE</vt:lpstr>
      <vt:lpstr>DEBT_BY_REPAYMENT</vt:lpstr>
      <vt:lpstr>DEBT_CURR_STRUCT</vt:lpstr>
      <vt:lpstr>DEBT_LAST_5_YEARS</vt:lpstr>
      <vt:lpstr>DEBT_LAST_5_YEARS_PERCENT</vt:lpstr>
      <vt:lpstr>DEBT_LAST_5_YEARS_UAH</vt:lpstr>
      <vt:lpstr>DEBT_LAST_5_YEARS_USD</vt:lpstr>
      <vt:lpstr>DEBT_STATE</vt:lpstr>
      <vt:lpstr>DEBT_TOTAL</vt:lpstr>
      <vt:lpstr>DKRSTATE</vt:lpstr>
      <vt:lpstr>DKT</vt:lpstr>
      <vt:lpstr>DMLMLR</vt:lpstr>
      <vt:lpstr>DREPORTDATE</vt:lpstr>
      <vt:lpstr>DRUN</vt:lpstr>
      <vt:lpstr>DSESSION</vt:lpstr>
      <vt:lpstr>DT_05</vt:lpstr>
      <vt:lpstr>DTKYPERC</vt:lpstr>
      <vt:lpstr>DTKYUAH</vt:lpstr>
      <vt:lpstr>DTKYUSD</vt:lpstr>
      <vt:lpstr>DTMDUAH</vt:lpstr>
      <vt:lpstr>DTMDUSD</vt:lpstr>
      <vt:lpstr>DTMPERC</vt:lpstr>
      <vt:lpstr>DTMUAH</vt:lpstr>
      <vt:lpstr>DTMUSD</vt:lpstr>
      <vt:lpstr>DTR</vt:lpstr>
      <vt:lpstr>YK_ALL!DTYPERC</vt:lpstr>
      <vt:lpstr>DTYPERC</vt:lpstr>
      <vt:lpstr>YK_ALL!DTYUAH</vt:lpstr>
      <vt:lpstr>DTYUAH</vt:lpstr>
      <vt:lpstr>YK_ALL!DTYUSD</vt:lpstr>
      <vt:lpstr>DTYUSD</vt:lpstr>
      <vt:lpstr>EXCH_RATE_TO_UAH</vt:lpstr>
      <vt:lpstr>EXCH_RATE_TO_USD</vt:lpstr>
      <vt:lpstr>EXTENDED</vt:lpstr>
      <vt:lpstr>INCLUDING</vt:lpstr>
      <vt:lpstr>KINDCMP</vt:lpstr>
      <vt:lpstr>KINDKMPD4</vt:lpstr>
      <vt:lpstr>KINDKMPD5</vt:lpstr>
      <vt:lpstr>ORIGINAL</vt:lpstr>
      <vt:lpstr>RATEGROUPKIND</vt:lpstr>
      <vt:lpstr>RATEKIND</vt:lpstr>
      <vt:lpstr>RATENAMEALL</vt:lpstr>
      <vt:lpstr>RATENAMESTRUCT1</vt:lpstr>
      <vt:lpstr>RATENAMESTRUCT2</vt:lpstr>
      <vt:lpstr>RATENAMESTRUCTCMP</vt:lpstr>
      <vt:lpstr>RATENAMESTRUCTCMP2</vt:lpstr>
      <vt:lpstr>RCMP2D4</vt:lpstr>
      <vt:lpstr>RCMP2D5</vt:lpstr>
      <vt:lpstr>RCMPD4</vt:lpstr>
      <vt:lpstr>RCMPD5</vt:lpstr>
      <vt:lpstr>REPORT_LANG</vt:lpstr>
      <vt:lpstr>REPORT_REGIME</vt:lpstr>
      <vt:lpstr>SRATED</vt:lpstr>
      <vt:lpstr>STRMAXDATE</vt:lpstr>
      <vt:lpstr>STRPRESENTDATE</vt:lpstr>
      <vt:lpstr>UAH</vt:lpstr>
      <vt:lpstr>USD</vt:lpstr>
      <vt:lpstr>VALUAH</vt:lpstr>
      <vt:lpstr>VALUSD</vt:lpstr>
      <vt:lpstr>VALVAL</vt:lpstr>
      <vt:lpstr>YKT2UAH</vt:lpstr>
      <vt:lpstr>YKT2USD</vt:lpstr>
      <vt:lpstr>YKT2UФР</vt:lpstr>
    </vt:vector>
  </TitlesOfParts>
  <Company>rybalko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rybalko</dc:creator>
  <cp:lastModifiedBy>Alla Danylchuk</cp:lastModifiedBy>
  <cp:lastPrinted>2025-01-24T14:52:17Z</cp:lastPrinted>
  <dcterms:created xsi:type="dcterms:W3CDTF">2006-12-14T15:58:30Z</dcterms:created>
  <dcterms:modified xsi:type="dcterms:W3CDTF">2025-01-24T15:19:13Z</dcterms:modified>
</cp:coreProperties>
</file>