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aMT\AppData\Local\Microsoft\Windows\INetCache\Content.Outlook\OCI2J8HZ\"/>
    </mc:Choice>
  </mc:AlternateContent>
  <bookViews>
    <workbookView xWindow="600" yWindow="525" windowWidth="18555" windowHeight="11505"/>
  </bookViews>
  <sheets>
    <sheet name="на 01.10.2019" sheetId="2" r:id="rId1"/>
  </sheets>
  <definedNames>
    <definedName name="_xlnm.Print_Titles" localSheetId="0">'на 01.10.2019'!$6:$8</definedName>
    <definedName name="_xlnm.Print_Area" localSheetId="0">'на 01.10.2019'!$A$1:$J$201</definedName>
  </definedNames>
  <calcPr calcId="162913"/>
</workbook>
</file>

<file path=xl/calcChain.xml><?xml version="1.0" encoding="utf-8"?>
<calcChain xmlns="http://schemas.openxmlformats.org/spreadsheetml/2006/main">
  <c r="F47" i="2" l="1"/>
  <c r="F46" i="2"/>
  <c r="J137" i="2"/>
  <c r="J144" i="2"/>
  <c r="J141" i="2"/>
  <c r="J91" i="2"/>
  <c r="J134" i="2"/>
  <c r="J100" i="2"/>
  <c r="J38" i="2"/>
  <c r="J37" i="2"/>
  <c r="G58" i="2"/>
  <c r="G61" i="2"/>
  <c r="G66" i="2"/>
  <c r="G62" i="2"/>
  <c r="G60" i="2"/>
  <c r="G59" i="2"/>
  <c r="G64" i="2"/>
  <c r="G65" i="2"/>
  <c r="G69" i="2"/>
  <c r="G68" i="2"/>
  <c r="G67" i="2"/>
  <c r="G15" i="2"/>
  <c r="G159" i="2" s="1"/>
  <c r="G32" i="2"/>
  <c r="G26" i="2"/>
  <c r="G24" i="2"/>
  <c r="K9" i="2"/>
  <c r="F50" i="2" s="1"/>
  <c r="F159" i="2" s="1"/>
  <c r="K6" i="2"/>
  <c r="F183" i="2"/>
  <c r="F15" i="2"/>
  <c r="J139" i="2"/>
  <c r="J153" i="2"/>
  <c r="J158" i="2"/>
  <c r="J143" i="2"/>
  <c r="J152" i="2"/>
  <c r="J146" i="2"/>
  <c r="J147" i="2"/>
  <c r="J103" i="2"/>
  <c r="J15" i="2"/>
  <c r="J159" i="2" s="1"/>
  <c r="F171" i="2"/>
  <c r="G63" i="2"/>
  <c r="F34" i="2"/>
  <c r="J97" i="2"/>
  <c r="J120" i="2"/>
  <c r="J130" i="2"/>
  <c r="J96" i="2"/>
  <c r="J89" i="2"/>
  <c r="F99" i="2"/>
  <c r="F132" i="2"/>
  <c r="F128" i="2"/>
  <c r="F127" i="2"/>
  <c r="F126" i="2"/>
  <c r="F125" i="2"/>
  <c r="F124" i="2"/>
  <c r="F123" i="2"/>
  <c r="F122" i="2"/>
  <c r="F121" i="2"/>
  <c r="F119" i="2"/>
  <c r="F118" i="2"/>
  <c r="F117" i="2"/>
  <c r="F116" i="2"/>
  <c r="F114" i="2"/>
  <c r="F113" i="2"/>
  <c r="F112" i="2"/>
  <c r="F109" i="2"/>
  <c r="F108" i="2"/>
  <c r="J154" i="2"/>
  <c r="J142" i="2"/>
  <c r="J150" i="2"/>
  <c r="J155" i="2"/>
  <c r="J157" i="2"/>
  <c r="J52" i="2"/>
  <c r="J156" i="2"/>
  <c r="J140" i="2"/>
  <c r="J133" i="2"/>
  <c r="J94" i="2"/>
  <c r="J135" i="2"/>
  <c r="J86" i="2"/>
  <c r="F27" i="2"/>
  <c r="F32" i="2"/>
  <c r="F58" i="2"/>
  <c r="F63" i="2"/>
  <c r="F66" i="2"/>
  <c r="F62" i="2"/>
  <c r="F60" i="2"/>
  <c r="F59" i="2"/>
  <c r="F64" i="2"/>
  <c r="F65" i="2"/>
  <c r="F69" i="2"/>
  <c r="F68" i="2"/>
  <c r="F67" i="2"/>
  <c r="F24" i="2"/>
  <c r="D33" i="2"/>
  <c r="H47" i="2"/>
  <c r="H46" i="2"/>
  <c r="D46" i="2"/>
  <c r="I158" i="2"/>
  <c r="I157" i="2"/>
  <c r="I155" i="2"/>
  <c r="I154" i="2"/>
  <c r="I153" i="2"/>
  <c r="I152" i="2"/>
  <c r="I150" i="2"/>
  <c r="I147" i="2"/>
  <c r="I146" i="2"/>
  <c r="I144" i="2"/>
  <c r="I142" i="2"/>
  <c r="I141" i="2"/>
  <c r="I140" i="2"/>
  <c r="I139" i="2"/>
  <c r="I137" i="2"/>
  <c r="I135" i="2"/>
  <c r="I134" i="2"/>
  <c r="I130" i="2"/>
  <c r="I120" i="2"/>
  <c r="I133" i="2"/>
  <c r="I100" i="2"/>
  <c r="I97" i="2"/>
  <c r="I96" i="2"/>
  <c r="I94" i="2"/>
  <c r="I91" i="2"/>
  <c r="I90" i="2"/>
  <c r="I89" i="2"/>
  <c r="I86" i="2"/>
  <c r="I68" i="2"/>
  <c r="I52" i="2"/>
  <c r="I51" i="2"/>
  <c r="I38" i="2"/>
  <c r="I37" i="2"/>
  <c r="I15" i="2"/>
  <c r="I159" i="2" s="1"/>
  <c r="G80" i="2"/>
  <c r="F80" i="2"/>
  <c r="D17" i="2"/>
  <c r="H184" i="2"/>
  <c r="H40" i="2"/>
  <c r="F194" i="2"/>
  <c r="H24" i="2"/>
  <c r="F51" i="2"/>
  <c r="H18" i="2"/>
  <c r="D18" i="2"/>
  <c r="G79" i="2"/>
  <c r="F79" i="2"/>
  <c r="H50" i="2"/>
  <c r="H21" i="2"/>
  <c r="G150" i="2"/>
  <c r="H166" i="2"/>
  <c r="H148" i="2"/>
  <c r="F70" i="2"/>
  <c r="F71" i="2"/>
  <c r="F76" i="2"/>
  <c r="F74" i="2"/>
  <c r="F77" i="2"/>
  <c r="F72" i="2"/>
  <c r="F73" i="2"/>
  <c r="F61" i="2"/>
  <c r="H49" i="2"/>
  <c r="I200" i="2"/>
  <c r="I201" i="2" s="1"/>
  <c r="H186" i="2"/>
  <c r="H86" i="2"/>
  <c r="H189" i="2"/>
  <c r="H190" i="2"/>
  <c r="D75" i="2"/>
  <c r="F75" i="2"/>
  <c r="D76" i="2"/>
  <c r="G76" i="2"/>
  <c r="D78" i="2"/>
  <c r="F78" i="2"/>
  <c r="G74" i="2"/>
  <c r="D74" i="2"/>
  <c r="G77" i="2"/>
  <c r="D77" i="2"/>
  <c r="G70" i="2"/>
  <c r="D70" i="2"/>
  <c r="D71" i="2"/>
  <c r="G71" i="2"/>
  <c r="D73" i="2"/>
  <c r="G73" i="2"/>
  <c r="J200" i="2"/>
  <c r="G72" i="2"/>
  <c r="H39" i="2"/>
  <c r="D32" i="2"/>
  <c r="F31" i="2"/>
  <c r="H31" i="2"/>
  <c r="D25" i="2"/>
  <c r="F25" i="2"/>
  <c r="H10" i="2"/>
  <c r="F182" i="2"/>
  <c r="H181" i="2"/>
  <c r="H42" i="2"/>
  <c r="D58" i="2"/>
  <c r="H55" i="2"/>
  <c r="H183" i="2"/>
  <c r="H81" i="2"/>
  <c r="H177" i="2"/>
  <c r="H30" i="2"/>
  <c r="D45" i="2"/>
  <c r="H45" i="2"/>
  <c r="H188" i="2"/>
  <c r="F180" i="2"/>
  <c r="H51" i="2"/>
  <c r="D12" i="2"/>
  <c r="H180" i="2"/>
  <c r="H178" i="2"/>
  <c r="H172" i="2"/>
  <c r="H168" i="2"/>
  <c r="H167" i="2"/>
  <c r="H179" i="2"/>
  <c r="H27" i="2"/>
  <c r="D82" i="2"/>
  <c r="F82" i="2"/>
  <c r="G82" i="2"/>
  <c r="F176" i="2"/>
  <c r="H176" i="2"/>
  <c r="H175" i="2"/>
  <c r="F175" i="2"/>
  <c r="H174" i="2"/>
  <c r="H26" i="2"/>
  <c r="H171" i="2"/>
  <c r="H164" i="2"/>
  <c r="H163" i="2"/>
  <c r="H165" i="2"/>
  <c r="H161" i="2"/>
  <c r="H36" i="2"/>
  <c r="H191" i="2"/>
  <c r="H193" i="2"/>
  <c r="H192" i="2"/>
  <c r="H52" i="2"/>
  <c r="H53" i="2"/>
  <c r="H35" i="2"/>
  <c r="H198" i="2"/>
  <c r="H199" i="2"/>
  <c r="H162" i="2"/>
  <c r="F185" i="2"/>
  <c r="H185" i="2"/>
  <c r="H197" i="2"/>
  <c r="H196" i="2"/>
  <c r="H195" i="2"/>
  <c r="H194" i="2"/>
  <c r="H25" i="2"/>
  <c r="H20" i="2"/>
  <c r="H19" i="2"/>
  <c r="H14" i="2"/>
  <c r="H159" i="2" s="1"/>
  <c r="H13" i="2"/>
  <c r="H12" i="2"/>
  <c r="H170" i="2"/>
  <c r="H54" i="2"/>
  <c r="H173" i="2"/>
  <c r="H11" i="2"/>
  <c r="H9" i="2"/>
  <c r="D184" i="2"/>
  <c r="F184" i="2"/>
  <c r="D161" i="2"/>
  <c r="D171" i="2"/>
  <c r="F165" i="2"/>
  <c r="F20" i="2"/>
  <c r="F166" i="2"/>
  <c r="F192" i="2"/>
  <c r="F19" i="2"/>
  <c r="F191" i="2"/>
  <c r="D10" i="2"/>
  <c r="D191" i="2"/>
  <c r="F178" i="2"/>
  <c r="F179" i="2"/>
  <c r="D163" i="2"/>
  <c r="D39" i="2"/>
  <c r="F169" i="2"/>
  <c r="F52" i="2"/>
  <c r="D26" i="2"/>
  <c r="F49" i="2"/>
  <c r="F198" i="2"/>
  <c r="F167" i="2"/>
  <c r="F30" i="2"/>
  <c r="D81" i="2"/>
  <c r="D36" i="2"/>
  <c r="D198" i="2"/>
  <c r="D20" i="2"/>
  <c r="D167" i="2"/>
  <c r="D165" i="2"/>
  <c r="D30" i="2"/>
  <c r="D54" i="2"/>
  <c r="F163" i="2"/>
  <c r="F200" i="2" s="1"/>
  <c r="F201" i="2" s="1"/>
  <c r="F161" i="2"/>
  <c r="D35" i="2"/>
  <c r="F162" i="2"/>
  <c r="D52" i="2"/>
  <c r="F9" i="2"/>
  <c r="F181" i="2"/>
  <c r="D9" i="2"/>
  <c r="F12" i="2"/>
  <c r="D178" i="2"/>
  <c r="F35" i="2"/>
  <c r="D42" i="2"/>
  <c r="D183" i="2"/>
  <c r="F39" i="2"/>
  <c r="D177" i="2"/>
  <c r="D49" i="2"/>
  <c r="F43" i="2"/>
  <c r="D43" i="2"/>
  <c r="F164" i="2"/>
  <c r="F42" i="2"/>
  <c r="F81" i="2"/>
  <c r="D199" i="2"/>
  <c r="F26" i="2"/>
  <c r="D19" i="2"/>
  <c r="F177" i="2"/>
  <c r="D192" i="2"/>
  <c r="F199" i="2"/>
  <c r="F54" i="2"/>
  <c r="D164" i="2"/>
  <c r="F173" i="2"/>
  <c r="F36" i="2"/>
  <c r="D179" i="2"/>
  <c r="D162" i="2"/>
  <c r="D166" i="2"/>
  <c r="F18" i="2"/>
  <c r="J201" i="2" l="1"/>
  <c r="D50" i="2"/>
</calcChain>
</file>

<file path=xl/comments1.xml><?xml version="1.0" encoding="utf-8"?>
<comments xmlns="http://schemas.openxmlformats.org/spreadsheetml/2006/main">
  <authors>
    <author>Користувач Windows</author>
  </authors>
  <commentList>
    <comment ref="H2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перерахунок пені лист ДКСУ від08.08.2018 №11-05-1/68-12974
</t>
        </r>
      </text>
    </comment>
  </commentList>
</comments>
</file>

<file path=xl/sharedStrings.xml><?xml version="1.0" encoding="utf-8"?>
<sst xmlns="http://schemas.openxmlformats.org/spreadsheetml/2006/main" count="489" uniqueCount="414">
  <si>
    <t xml:space="preserve">ХК "Реле та автоматика" </t>
  </si>
  <si>
    <t>УО "Укрфармація"</t>
  </si>
  <si>
    <t>УЗТФ "Біомед"</t>
  </si>
  <si>
    <t>ВАТ "Оріана"</t>
  </si>
  <si>
    <t>ВАТ "Текстерно"</t>
  </si>
  <si>
    <t>ВАТ "Херсонський бавовняний комбінат"</t>
  </si>
  <si>
    <t>ВАТ "ЗАлК"</t>
  </si>
  <si>
    <t>АТ "Чексіл"</t>
  </si>
  <si>
    <t>Національна телекомпанія України</t>
  </si>
  <si>
    <t>АХК "Укрнафтопродукт"</t>
  </si>
  <si>
    <t>ВАТ "Харківський тракторний завод"</t>
  </si>
  <si>
    <t>Корпорація "Украгропромбіржа"</t>
  </si>
  <si>
    <t>Асоціація "Земля і люди"</t>
  </si>
  <si>
    <t>Українська аграрна біржа</t>
  </si>
  <si>
    <t>Концерн "Украгротехсервіс"</t>
  </si>
  <si>
    <t>Агрофірма "Зоря"</t>
  </si>
  <si>
    <t>НВДАФ "Наукова"</t>
  </si>
  <si>
    <t>ТОВ "Кріогенні технології"</t>
  </si>
  <si>
    <t>ВАТ "Кіцманське РТП" с/г техн. (Південмаш)</t>
  </si>
  <si>
    <t>Державне агантство резерву України</t>
  </si>
  <si>
    <t>Київський авіаційний завод "Авіант" (ДП "Антонов")</t>
  </si>
  <si>
    <t>Харківське державне авіаційне виробниче підприємство</t>
  </si>
  <si>
    <t>ВАТ "Лисичанськвугілля"</t>
  </si>
  <si>
    <t>ДП "ДБУНП "Повітряний експрес"</t>
  </si>
  <si>
    <t>ЗАТ "Ворскла"</t>
  </si>
  <si>
    <t>КП "Водопостачання м. Вознесенська"</t>
  </si>
  <si>
    <t>АТ "Стальметиз"</t>
  </si>
  <si>
    <t xml:space="preserve">АТ "Епос - Холдінг" </t>
  </si>
  <si>
    <t>ЗАТ “Сумикамволь”</t>
  </si>
  <si>
    <t>КП "Фірма Маріам - А"</t>
  </si>
  <si>
    <t>ПФ "Софія Київська"</t>
  </si>
  <si>
    <t>СП "Ратай"</t>
  </si>
  <si>
    <t>Фірма “Атон”, Транснаціональна корпорація "Атон"</t>
  </si>
  <si>
    <t>Агрофірма "Славутич"</t>
  </si>
  <si>
    <t>ТОВ "Харківська Регіональна Лізінгова компанія"  с/г техн. (Південмаш)</t>
  </si>
  <si>
    <t>ТОВ "Харківська Регіональна Лізінгова компанія" с/г техн.(ХТЗ)</t>
  </si>
  <si>
    <t>АТ "Сілур"</t>
  </si>
  <si>
    <t>ВАТ "Львівагрореммашпостач"</t>
  </si>
  <si>
    <t>СП "Дако", ВСП Агрофірма "Вікторія" СУФП "Дако", ВСП Агрофірма "Уманська МТС" СУФП "Дако", ВСП Агрофірма "Вереміївська машино-технологічна станція" СУФП "Дако", ВСП Агрофірма "Лівобережна" СУФП "Дако", ВСП Агрофірма "Світанок" СУФП "Дако"</t>
  </si>
  <si>
    <t>СП "Укрінтерцукор"</t>
  </si>
  <si>
    <t xml:space="preserve">КПДТФ "Дніпрянка" </t>
  </si>
  <si>
    <t>ВАТ "Украгротех"</t>
  </si>
  <si>
    <t>ВНО "Укрптахопром"</t>
  </si>
  <si>
    <t>АБ "Донвуглекомбанк"</t>
  </si>
  <si>
    <t>ЗАТ "Гібрид-С"</t>
  </si>
  <si>
    <t>ДП ВО "Південмаш" 
ім.О.М. Макарова</t>
  </si>
  <si>
    <t xml:space="preserve">ВАТ "Надвірнянський лісокомбінат" </t>
  </si>
  <si>
    <t>ЗАТ СНК "Одеська кукурудза"</t>
  </si>
  <si>
    <t>АТ "Кріопром"</t>
  </si>
  <si>
    <t xml:space="preserve">Концерн "Південриба", 
АТ "Південриббуд" </t>
  </si>
  <si>
    <t>Академія медичних наук</t>
  </si>
  <si>
    <t xml:space="preserve">Інженерно-технічний центр "Сумиоблагротехсервіс", </t>
  </si>
  <si>
    <t xml:space="preserve">Інженерно - технічний центр "Сумиагротранс" </t>
  </si>
  <si>
    <t>Міжрайонний торговий будинок "Агротехсервіс"</t>
  </si>
  <si>
    <t>Підстави надання гарантії/кредиту</t>
  </si>
  <si>
    <t>Дата та номер гарантії/угоди
(ким підписана)</t>
  </si>
  <si>
    <t>Крім того, нараховано пені
млн. грн.</t>
  </si>
  <si>
    <t>Цільве призначення кредиту</t>
  </si>
  <si>
    <t>№ 40-1987/96 від 23.10.1992
(Слєпічев О.І.)</t>
  </si>
  <si>
    <t>устаткування для заводу по виробництву склотари</t>
  </si>
  <si>
    <t>євро</t>
  </si>
  <si>
    <t>яп</t>
  </si>
  <si>
    <t>дол</t>
  </si>
  <si>
    <t>Сума оформленого кредиту
млн. дол. США</t>
  </si>
  <si>
    <t>сільгосптехніка, запчастини</t>
  </si>
  <si>
    <t xml:space="preserve">ВАТ "Агропромінвест" </t>
  </si>
  <si>
    <t>ЗАТ "Світанок"</t>
  </si>
  <si>
    <t>розпорядження кму від 03.07.1996 №419-р</t>
  </si>
  <si>
    <t>№ 22-1821 від 11.07.1996  (Лазаренко П.І.)</t>
  </si>
  <si>
    <t>Указ Президента України від 04.03.1998 №166/98</t>
  </si>
  <si>
    <t>промислове обладнання</t>
  </si>
  <si>
    <t>протокол ВКР від 05.08.1992 №2(28)</t>
  </si>
  <si>
    <t>товари народного вжитку, продукти харчування</t>
  </si>
  <si>
    <t>протокол ВКР від 04.11.1993 №6(32)</t>
  </si>
  <si>
    <t>№40-2260/96 від 25.10.1993 
(Ландик В. І.)</t>
  </si>
  <si>
    <t>постанова КМУ від 31.01.1997 №104</t>
  </si>
  <si>
    <t>№40-406/97 від 07.02.1997 
(Шпек Р. В.)</t>
  </si>
  <si>
    <t>сільгосптехніка</t>
  </si>
  <si>
    <t>постанова КМУ від 31.01.97 № 104</t>
  </si>
  <si>
    <t>постанова  КМУ від 25.12.1996 №1549</t>
  </si>
  <si>
    <t>фольгопрокатне обладнаня для виготовлення алюмінієвої фольги</t>
  </si>
  <si>
    <t>протокол ВКР від 14.10.1994 №2(42)</t>
  </si>
  <si>
    <t>№40-1814/96 від 26.10.1994
 (Мітюков І. О.)</t>
  </si>
  <si>
    <t>сировина</t>
  </si>
  <si>
    <t>№40-1813/96 від 26.10.1994 
(Мітюков І. О.)</t>
  </si>
  <si>
    <t>№40-2211/96 від 26.11.1992 
(Юхновський І. Р.)</t>
  </si>
  <si>
    <t>будівництво заводу для виробництва поліетилену</t>
  </si>
  <si>
    <t>постанова КМУ від 31.01.1997 №103</t>
  </si>
  <si>
    <t>№40-409/97 від 07.02.1997
 (Шпек В. В.)</t>
  </si>
  <si>
    <t>№ 40-406/97 від 07.02.97   
(Шпек Р.В.)</t>
  </si>
  <si>
    <t>№27-304/166 від 27.05.1998 
(Мітюков І. О.)</t>
  </si>
  <si>
    <t>постанова КМУ ВІД 01.07.1997 №648</t>
  </si>
  <si>
    <t>№40-1840/96 ВІД 15.07.1997 
(Шпек Р. В.)</t>
  </si>
  <si>
    <t>постанова КМУ від31.01.1997 №106</t>
  </si>
  <si>
    <t>№40-404/96 від 07.02.1997
(Шпек Р. В.)</t>
  </si>
  <si>
    <t xml:space="preserve">Луганська обласна державна адміністрація </t>
  </si>
  <si>
    <t>постанова КМУ від 06.06.2011 №598</t>
  </si>
  <si>
    <t>Гарантійна угода від 26.12.2011
Договір про погашення заборгованості від 27.03.2013</t>
  </si>
  <si>
    <t>технічне переоснащення, модернізація</t>
  </si>
  <si>
    <t>постанова КМУ від 31.01.1997 №107</t>
  </si>
  <si>
    <t>№40-410/96 від 07.02.1997 
(Шпек Р. В.)</t>
  </si>
  <si>
    <t>протокол ВКР від 7-9.07.1992 №2</t>
  </si>
  <si>
    <t>№21-1479/96 від 10.07.1992 
(Слєпічев О. І.)</t>
  </si>
  <si>
    <t>протокол ВКР від 12.02.1993 №5(18)</t>
  </si>
  <si>
    <t>№40-330/96 від 18.02.1993 
(Юхновський І. Р.)</t>
  </si>
  <si>
    <t>технологічне обладнання</t>
  </si>
  <si>
    <t>постанова КМУ від 31.01.1997 №102</t>
  </si>
  <si>
    <t>№40-403/96 від 07.02.1997 
(Шпек Р. В.)</t>
  </si>
  <si>
    <t>сільгосппродукція</t>
  </si>
  <si>
    <t>розпорядження КМУ від 21.08.1997 №464-Р
постанова КМУ від 18.02.1998 №195</t>
  </si>
  <si>
    <t>протокол ВКР  від 12.02.1993 №5(18)</t>
  </si>
  <si>
    <t>постанова КМУ від 26.01.1998</t>
  </si>
  <si>
    <t>дизельні двигуни, моторні мастила,запчастини</t>
  </si>
  <si>
    <t>Гарантія від 30.06.2009 №28010-02/77
Договір від 30.06.2009 №28010-02/78</t>
  </si>
  <si>
    <t xml:space="preserve">Договір від 25.07.1997 
(Щербак Ю. М.)
</t>
  </si>
  <si>
    <t>постанова КМУ від 15.03.2006 №316</t>
  </si>
  <si>
    <t>постанова КМУ від 04.02.1998 №115</t>
  </si>
  <si>
    <t>№52-407/9 від 11.02.1998 
(Шпек Р. В.)</t>
  </si>
  <si>
    <t>постанова  КМУ від 28.10.1997 №1169</t>
  </si>
  <si>
    <t>№40-2694/96 від 13.10.1997 
(Шпек Р. В.)</t>
  </si>
  <si>
    <t>Договір від 25.07.1997 
(Щербак Ю. М.)
Угода від 13.10.2003 №13000-04/87</t>
  </si>
  <si>
    <t>Акт №071-211 "Зарахування заборг-ті ДП "ВО Південмаш"</t>
  </si>
  <si>
    <t>рохпорядження КМУ від 12.01.1996 №28-р</t>
  </si>
  <si>
    <t>№40-105/96 від 12.01.1996 
(Шпек Р. В.)</t>
  </si>
  <si>
    <t>Закон України від 03.07.1996 №265/96-ВР</t>
  </si>
  <si>
    <t>Угода про позику №38910-UA від 28.09.1995</t>
  </si>
  <si>
    <t>будівництво заводу по переробці насіння</t>
  </si>
  <si>
    <t>постанова КМУ від 07.02.1996 №166</t>
  </si>
  <si>
    <t>№40-761/96 від 22.03.1996 
(Шпек Р. В.)</t>
  </si>
  <si>
    <t>протокол ВКР від 06.12.1994 №6(46)</t>
  </si>
  <si>
    <t>устаткування для виробництва вакцин</t>
  </si>
  <si>
    <t xml:space="preserve"> № 40-746/55 від 29.05.92 (Слєпічев О.І.)
№ 40-476/51 від 29.05.92 (Слєпічев О.І.) </t>
  </si>
  <si>
    <t>нафтопродукти</t>
  </si>
  <si>
    <t>розпорядження КМУ від 11.01.1996 №21-р</t>
  </si>
  <si>
    <t>№40-111/96 від 12.01.1996 (Шпек Р. В.)</t>
  </si>
  <si>
    <t>протокол  ВКР від 16.09.1993 №5(31)</t>
  </si>
  <si>
    <t>модульні установки для виробництва інфузійних розчинів і контейнерів з ПВХ, медпрепарати</t>
  </si>
  <si>
    <t>протокол ВКР від 22-23.09.1992 №7</t>
  </si>
  <si>
    <t>№40-689/96 від 31.03.93 (Кучма Л.Д.)
 №40-703/96 від 31.03.93 (Кучма Л.Д.)
 №40-699/96 від 31.03.93 (Кучма Л.Д.) 
№40-701/96 від 31.03.93 (Кучма Л.Д.)</t>
  </si>
  <si>
    <t>сільгоспродукція</t>
  </si>
  <si>
    <t>повноваження кму від 27.08.1995 №22-2304/6</t>
  </si>
  <si>
    <t>угода від 22.11.1994 
(Щербак Ю. М.)</t>
  </si>
  <si>
    <t>розпорядження КМУ від 11.01.1996 №21-р
розпорядження КМУ від 27.06.1996 №411-р</t>
  </si>
  <si>
    <t>№40-116/96 від 09.02.1996 
№40-297/96 від 29.01.1997
(Шпек Р. В.)</t>
  </si>
  <si>
    <t>№ 40-338/8 від 18.02.93 
(Юхновський І.Р.)</t>
  </si>
  <si>
    <t>розпорядження КМУ від 26.06.96 № 410-р</t>
  </si>
  <si>
    <t>№ 40-1660/96 від 01.07.96   (Шпек Р.В.)</t>
  </si>
  <si>
    <t>постанова КМУ від 15.07.97 № 753</t>
  </si>
  <si>
    <t>№ 40-1919/9 від 23.07.97 
(Шпек Р.В.)</t>
  </si>
  <si>
    <t>векселі</t>
  </si>
  <si>
    <t>Додаткова Угода №28000-04/147-1 від 16.03.2007 до Угоди про реструктурування №130-04/147</t>
  </si>
  <si>
    <t>протокол ВКР від 7-9.07.92 № 2, від 22-23.09.92 № 7</t>
  </si>
  <si>
    <t>постанова КМУ від 24.12.97 № 1464</t>
  </si>
  <si>
    <t xml:space="preserve"> № 40-610/9 від 03.03.98 
(Шпек Р.В.)</t>
  </si>
  <si>
    <t>№ 27-302/1-841 від 16.03.98
 (Мітюков І.О.)</t>
  </si>
  <si>
    <t>протокол ВКР від 7-9.07.92 № 2, 
від 22-23.09.92 № 7</t>
  </si>
  <si>
    <t>протокол ВКР від 26.04.94 № 13</t>
  </si>
  <si>
    <t xml:space="preserve">№ 40-797/96 від 04.05.94 
(Ландик В.І.)
  № 40-1842/96 від 31.10.94  
(Мітюков І.О.)
 № 40-887/96 від 24.03.95
(Саблук П.)                               </t>
  </si>
  <si>
    <t>устаткування для переробки цукрового буряку</t>
  </si>
  <si>
    <t>постанова ВРУ
від 07.06.96 № 239/96</t>
  </si>
  <si>
    <t>Закон України  від 26.03.96 №113/96-ВР</t>
  </si>
  <si>
    <t>телебачення</t>
  </si>
  <si>
    <t>договір від 10.09.1998 №22-04/8
(Мітюков І. О.)</t>
  </si>
  <si>
    <t>договір від 01.11.1997 №1, №2
(Мітюков І. О.)</t>
  </si>
  <si>
    <t>постанова КМУ від 31.01.97 № 101</t>
  </si>
  <si>
    <t>№ 40-408/96 від 07.02.96   (Шпек Р.В.)</t>
  </si>
  <si>
    <t>Постанова КМУ від 31.12.97 №1496</t>
  </si>
  <si>
    <t>медичне обладнання</t>
  </si>
  <si>
    <t xml:space="preserve">Угода про реструктурування від 18.05.1999р. </t>
  </si>
  <si>
    <t>Договір поруки від 19.05.1999р.</t>
  </si>
  <si>
    <t>дитяче харчування</t>
  </si>
  <si>
    <t>Договір від 26.01.2015 №13010-05/5</t>
  </si>
  <si>
    <t>устаткування для домобудівельного комбінату</t>
  </si>
  <si>
    <t>протокол ВКР від 14.12.93 № 8 (34)</t>
  </si>
  <si>
    <t xml:space="preserve">Украгробіржа 
 (ТОВ "Арсенал-Агро") </t>
  </si>
  <si>
    <t>  Угода про реструктурування  від 31.12.2003 №130-04/178</t>
  </si>
  <si>
    <t>  Угода про реструктурування  від 31.12.2003 №130-04/184</t>
  </si>
  <si>
    <t>  Угода про реструктурування  від 31.12.2003 №130-04/186</t>
  </si>
  <si>
    <t>  Угода про реструктурування  від 31.12.2003 №130-04/188</t>
  </si>
  <si>
    <t>  Угода про реструктурування  від 31.12.2003 №130-04/190</t>
  </si>
  <si>
    <t>  Угода про реструктурування  від 31.12.2003 №130-04/191</t>
  </si>
  <si>
    <t>  Угода про реструктурування  від 31.12.2003 №130-04/149</t>
  </si>
  <si>
    <t>  Угода про реструктурування  від 31.12.2003 №130-04/164</t>
  </si>
  <si>
    <t>  Угода про реструктурування  від 31.12.2003 №130-04/177</t>
  </si>
  <si>
    <t>  Угода про реструктурування  від 31.12.2003 №130-04/167</t>
  </si>
  <si>
    <t>  Угода про реструктурування  від 31.12.2003 №130-04/173</t>
  </si>
  <si>
    <t>  Угода про реструктурування  від 31.12.2003 №130-04/170</t>
  </si>
  <si>
    <t>  Угода про реструктурування  від 31.12.2003 №130-04/160</t>
  </si>
  <si>
    <t>  Угода про реструктурування  від 31.12.2003 №130-04/174</t>
  </si>
  <si>
    <t>  Угода про реструктурування  від 31.12.2003 №130-04/165</t>
  </si>
  <si>
    <t xml:space="preserve">Украгробіржа 
(ВАТ "Іванівське РТП") </t>
  </si>
  <si>
    <t>  Угода про реструктурування  від 31.12.2003 №130-04/175</t>
  </si>
  <si>
    <t>  Угода про реструктурування  від 31.12.2003 №130-04/169</t>
  </si>
  <si>
    <t>Украгробіржа
(ТОВ "Жовтнева МТС" )</t>
  </si>
  <si>
    <t> Угода про реструктурування  від 31.12.2003 №130-04/168</t>
  </si>
  <si>
    <t> Угода про реструктурування  від 31.12.2003 №130-04/163</t>
  </si>
  <si>
    <t>Украгробіржа
(ТОВ "Надіяагроком" )</t>
  </si>
  <si>
    <t xml:space="preserve">Украгробіржа 
(СГ "Славутич") </t>
  </si>
  <si>
    <t xml:space="preserve">Украгробіржа 
(ТОВ "Царекостянтинівське МТС") </t>
  </si>
  <si>
    <t xml:space="preserve">Украгробіржа 
(ТОВ "Верховина") </t>
  </si>
  <si>
    <t xml:space="preserve">Украгробіржа 
(ПП "Югторг-М") </t>
  </si>
  <si>
    <t xml:space="preserve">Украгробіржа 
(ТОВ "АФ "Мир-Сем і К") </t>
  </si>
  <si>
    <t>  Угода про реструктурування  від 31.12.2003 №130-04/176</t>
  </si>
  <si>
    <t>  Угода про реструктурування  від 31.12.2003 №130-04/155</t>
  </si>
  <si>
    <t>  Угода про реструктурування  від 31.12.2003 №130-04/146</t>
  </si>
  <si>
    <t>№40-338/8 від 18.02.1993 
(Юхновський І. Р.)</t>
  </si>
  <si>
    <t>Київська міська рада</t>
  </si>
  <si>
    <t>Договір від 11.03.2016 №13010-05/38</t>
  </si>
  <si>
    <t>Закон  України від 03.07.1996 №265/96-ВР</t>
  </si>
  <si>
    <t>Угода про позику №38910-UA 
від 28.09.95</t>
  </si>
  <si>
    <t>Центр державного земельного кадастру при Держкомземі</t>
  </si>
  <si>
    <t xml:space="preserve">Закон України від 25.06.2004 №1776-IV </t>
  </si>
  <si>
    <t>Угода про позику № 47090-UA від 17.10.2003</t>
  </si>
  <si>
    <t>видача державних актів</t>
  </si>
  <si>
    <t>Угода про позику (Проект "Розвиток міської інфраструктури") між Україною та МБРР від 26.05.2008 №4869-UA</t>
  </si>
  <si>
    <t>Договір про Субкредитування  між МФУ, Міністерством з питань ЖКГ України та КП "Городок" від 29.12.2009 №28010-02/145</t>
  </si>
  <si>
    <t>Реалізація інвестиційного проекту «Реконструкція енергоємного обладнання системи водопостачання і водовідведення м.Балта»</t>
  </si>
  <si>
    <t>Угода від 29.12.2009 №28010-02/146</t>
  </si>
  <si>
    <t>Угода від 29.12.2009 № 28010-02/148</t>
  </si>
  <si>
    <t xml:space="preserve">КП "Словміськводоканал" </t>
  </si>
  <si>
    <t xml:space="preserve">КП "Дрогобичводоканал" </t>
  </si>
  <si>
    <t>Угода від 27.01.2010 № 28010-02/11</t>
  </si>
  <si>
    <t xml:space="preserve">КП "Кременчукводоканал" </t>
  </si>
  <si>
    <t>Угода від 18.08.2008 № 28020-02/115</t>
  </si>
  <si>
    <t>Угода від 13.08.2010 № 28010-02/97</t>
  </si>
  <si>
    <t xml:space="preserve">Первомайська міська рада </t>
  </si>
  <si>
    <t xml:space="preserve">КП "Водотеплосервіс"(м.Калуш)                                          </t>
  </si>
  <si>
    <t xml:space="preserve">  Угода від16.10.2009  №28010-02/110  </t>
  </si>
  <si>
    <t>КП "Новоград-Волинське УВКГ"</t>
  </si>
  <si>
    <t>Угода від 13.01.2010 №28010-02/20</t>
  </si>
  <si>
    <t>КП "Івано-Франківськводоекотехпром"</t>
  </si>
  <si>
    <t>Угода від 14.09.2010 №28010-02/108</t>
  </si>
  <si>
    <t>Угода від 10.12.2007 №28010-04/207</t>
  </si>
  <si>
    <t>КП "Коломияводоканал"</t>
  </si>
  <si>
    <t>Угода від 16.10.2009 №28010-02/111</t>
  </si>
  <si>
    <t>КП "Служба єдиного замовника" 
м. Кам'янець-Подільський</t>
  </si>
  <si>
    <t>Угода від 12.02.2010 №28010-02/21</t>
  </si>
  <si>
    <t>Угода від 29.12.2009 №28010-02/147</t>
  </si>
  <si>
    <t>КП "Черкасиводоканал"</t>
  </si>
  <si>
    <t>КП "Харківводоканал"</t>
  </si>
  <si>
    <t>Угода від 29.12.2009 №28010-02/144</t>
  </si>
  <si>
    <t xml:space="preserve">ЛМКП "Львівводоканал" </t>
  </si>
  <si>
    <t>Договір про надання позики між Україною та МБРР</t>
  </si>
  <si>
    <t>Угода про позику №46100-UA (проект водопостачання та каналізація м.Львова)</t>
  </si>
  <si>
    <t>водопостачання та каналізація</t>
  </si>
  <si>
    <t>КП "Бориспільводоканал"</t>
  </si>
  <si>
    <t>Угода від 12.01.201 №28010-02/22</t>
  </si>
  <si>
    <t>Угода від 10.12.2007 №2800-00/206</t>
  </si>
  <si>
    <t>Угода від 28.10.2009 №28010-02/116</t>
  </si>
  <si>
    <t>КП "Чернігівводоканал"</t>
  </si>
  <si>
    <t>Угода від 10.12.2007 №28000-04/205</t>
  </si>
  <si>
    <t>Угода від 28.10.2009 №28010-02/117</t>
  </si>
  <si>
    <t xml:space="preserve">ДП НАЕК "Енергоатом" </t>
  </si>
  <si>
    <t xml:space="preserve">Угода від 22.10.2004  № 13000-04/150 </t>
  </si>
  <si>
    <t>Угода від 20.10.2008 №24668</t>
  </si>
  <si>
    <t>ЄІБ</t>
  </si>
  <si>
    <t>Угода від 18.11.2010 №28010-02/169
Позика від 19.10.20110 №40147</t>
  </si>
  <si>
    <t>ЄБРР №37598 
Угода від 07.12.2007 №28000-04/202</t>
  </si>
  <si>
    <t>Угода від 23.08.2007 №28000-04/123</t>
  </si>
  <si>
    <t xml:space="preserve">ПАТ "Укргідроенерго" 
</t>
  </si>
  <si>
    <t>Угода від 21.09.2012 №31177</t>
  </si>
  <si>
    <t xml:space="preserve">Українська енерго-сервісна компанія (УкрЕСКО) 
</t>
  </si>
  <si>
    <t>Договір № 28010-02/9 від 20.01.2011,  угода ЄБРР від 26.11.2010 № 40185</t>
  </si>
  <si>
    <t xml:space="preserve"> Державне агентство автомобільних доріг України (Укравтодор)</t>
  </si>
  <si>
    <t>Угода від 21.10.2005 № 28000-04/77-1
Кредитна угода від 21.10.2005 №33832</t>
  </si>
  <si>
    <t>Позика № 36547 від 19.12.2006</t>
  </si>
  <si>
    <t>Кредитна угода від 28.02.2005 №31928</t>
  </si>
  <si>
    <t>Угода від 21.04.2009 №28010-02/40</t>
  </si>
  <si>
    <t>Угода про позику (Проект "Розширення доступу до ринків фінансових послуг") між Україною та МБРР від 26.06.2006 № 4827-UA</t>
  </si>
  <si>
    <t>Кредитний договір мід Міністерством фінансів України та ВАТ КБ "Надра" (зараз - ПАТ "Комерційний банк "Надра") від 22.07.2007 № 28000-04/99</t>
  </si>
  <si>
    <t>Угода від 09.12.1998 
№22-04/27</t>
  </si>
  <si>
    <t>Рефінансування довгострокових кредитів підприємців, що працюють у сільській місцевості</t>
  </si>
  <si>
    <t>Угода від 22.06.2007 №28000-04/98</t>
  </si>
  <si>
    <t>ПАТ КБ "Надра"</t>
  </si>
  <si>
    <t>ПАТ  КБ "Кредитпромбанк"</t>
  </si>
  <si>
    <t>Угода про позику №38910-UA від 28.09.95</t>
  </si>
  <si>
    <t>Закон України від 11.07.1996 № 310/96-ВР</t>
  </si>
  <si>
    <t>Угода про позику №40160-UA від 11.07.1996</t>
  </si>
  <si>
    <t>надання мікрокредитів</t>
  </si>
  <si>
    <t>Угода від 07.11.2005 №28000-04/80(4795)</t>
  </si>
  <si>
    <t>КП "Міськийводоканал"
 м. Нова Каховка</t>
  </si>
  <si>
    <t>Угода від 12.02.2010 №28010-02/19</t>
  </si>
  <si>
    <t>фінансова угода від 26.07.1993 
(Єременко І. О.)</t>
  </si>
  <si>
    <r>
      <t xml:space="preserve">ВАТ "Укрімпекс"  
</t>
    </r>
    <r>
      <rPr>
        <i/>
        <sz val="11"/>
        <rFont val="Times New Roman"/>
        <family val="1"/>
        <charset val="204"/>
      </rPr>
      <t>(солідарна відповідальність з ООО "Геснерія-Центр", 
ТОВ "Геснерія ЛТД",
АТЗТ "Асоціація дитячого харчування", ВАТ "Херсонський консервний завод дитячого харчування ім. 8 березня" )</t>
    </r>
  </si>
  <si>
    <t xml:space="preserve">Украгробіржа 
(ТОВ "Агрохімсервіс") </t>
  </si>
  <si>
    <t xml:space="preserve">Украгробіржа 
(ЗАТ "Таврія-Агро") </t>
  </si>
  <si>
    <t xml:space="preserve">Украгробіржа 
(ТОВ "Ельвіра-2000") </t>
  </si>
  <si>
    <t xml:space="preserve">Украгробіржа 
(ТОВ "Чаплинське") </t>
  </si>
  <si>
    <t xml:space="preserve">Украгробіржа 
(ТОВ "Агростар") </t>
  </si>
  <si>
    <t xml:space="preserve">Украгробіржа  
(ТОВ "Юрчиха") </t>
  </si>
  <si>
    <t xml:space="preserve">Украгробіржа 
(СПП Агрофірма "Людмила") </t>
  </si>
  <si>
    <t xml:space="preserve">Украгробіржа 
(ТОВ "Укрнафтінвест") </t>
  </si>
  <si>
    <t xml:space="preserve">Украгробіржа 
(АТЗТ "Енергоресурс") </t>
  </si>
  <si>
    <t xml:space="preserve">Украгробіржа 
(ВАТ "Шампань України") </t>
  </si>
  <si>
    <t xml:space="preserve">Украгробіржа 
(ВАТ ЧРО "Агропроммеханізація") </t>
  </si>
  <si>
    <t xml:space="preserve">Украгробіржа 
(СП ТОВ "Вольвіна") </t>
  </si>
  <si>
    <t xml:space="preserve">Украгробіржа 
(ВАТ Камянське п-во "Агрохім") </t>
  </si>
  <si>
    <r>
      <t xml:space="preserve"> ВАТ "Прикарпатський меблевий комбінат"
</t>
    </r>
    <r>
      <rPr>
        <i/>
        <sz val="11"/>
        <rFont val="Times New Roman"/>
        <family val="1"/>
        <charset val="204"/>
      </rPr>
      <t xml:space="preserve"> (солідарна відповідальність з 
ЛПО "Прикарпатліс", 
ХК "Прикарпатліс", 
ВАТ "Івано-Франківська меблева фабрика")</t>
    </r>
  </si>
  <si>
    <r>
      <t xml:space="preserve">ТОВ "Геснерія ЛТД" 
</t>
    </r>
    <r>
      <rPr>
        <i/>
        <sz val="11"/>
        <rFont val="Times New Roman"/>
        <family val="1"/>
        <charset val="204"/>
      </rPr>
      <t>(солідарна відповідальність з ВАТ "Укрімпекс" )</t>
    </r>
  </si>
  <si>
    <r>
      <t xml:space="preserve">АТЗТ "Асоціація дитячого харчування" 
</t>
    </r>
    <r>
      <rPr>
        <i/>
        <sz val="11"/>
        <rFont val="Times New Roman"/>
        <family val="1"/>
        <charset val="204"/>
      </rPr>
      <t>(солідарна відповідальність 
з ВАТ "Укрімпекс" )</t>
    </r>
  </si>
  <si>
    <r>
      <t>ВАТ "Луганський облагротехсервіс"</t>
    </r>
    <r>
      <rPr>
        <i/>
        <sz val="11"/>
        <rFont val="Times New Roman"/>
        <family val="1"/>
        <charset val="204"/>
      </rPr>
      <t xml:space="preserve"> (солідарна відповідальність з Луганською обласною державною адміністрацією)</t>
    </r>
  </si>
  <si>
    <r>
      <t xml:space="preserve">ВАТ "Агромашсервіскомплект" </t>
    </r>
    <r>
      <rPr>
        <i/>
        <sz val="11"/>
        <rFont val="Times New Roman"/>
        <family val="1"/>
        <charset val="204"/>
      </rPr>
      <t>(солідарна відповідальність з Житомирською обласною державною адміністрацією)</t>
    </r>
  </si>
  <si>
    <r>
      <t xml:space="preserve">ВАТ "Сумиоблагротехсервіс", </t>
    </r>
    <r>
      <rPr>
        <b/>
        <i/>
        <sz val="11"/>
        <rFont val="Times New Roman"/>
        <family val="1"/>
        <charset val="204"/>
      </rPr>
      <t>солідарна відповідальність з 
Сумська облдержадміністрація (гарант),</t>
    </r>
  </si>
  <si>
    <r>
      <t>КП "Городок"</t>
    </r>
    <r>
      <rPr>
        <b/>
        <i/>
        <sz val="11"/>
        <rFont val="Times New Roman"/>
        <family val="1"/>
        <charset val="204"/>
      </rPr>
      <t xml:space="preserve">  
</t>
    </r>
  </si>
  <si>
    <t>Позичальник</t>
  </si>
  <si>
    <t>Відшкодовано витрат
 державного бюджету
млн. грн.</t>
  </si>
  <si>
    <t xml:space="preserve">№ 40-2157/96 від 07.12.96   (Мітюков І.О.)
№ 40-2462/96 від 12.09.95
 № 40-2460/96 від 12.09.95 
  (Шпек Р.В.)     </t>
  </si>
  <si>
    <t>промислове 
обладнання</t>
  </si>
  <si>
    <t>угоди про уступку права вимоги 28.11.03 №130-04/108, 
28.11.03 №130-04/109, 
від 03.12.003 №130-04/111)</t>
  </si>
  <si>
    <t>№ 40-1858/96 від 30.08.93 
(Ландик В.І.)</t>
  </si>
  <si>
    <r>
      <t xml:space="preserve">ХК "Прикарпатліс" 
</t>
    </r>
    <r>
      <rPr>
        <i/>
        <sz val="11"/>
        <rFont val="Times New Roman"/>
        <family val="1"/>
        <charset val="204"/>
      </rPr>
      <t>(солідарна відповідальність з ЛПО "Прикарпатліс", ВАТ "Прикарпатський меблевий комбінат" та  ВАТ "Івано-Франківська меблева фабрика" )</t>
    </r>
  </si>
  <si>
    <t>№101-04/53 від 07.12.2000,
 угода №896 від 11.12.2000</t>
  </si>
  <si>
    <t>№28000-04/217 від 18.12.2007,
фін.угода від 30.07.2007  №24062 ЄІБ</t>
  </si>
  <si>
    <t>№15010-02/121 від 06.07.2011,
 фін.угода від 27.05.2011 № 26131 ЄІБ</t>
  </si>
  <si>
    <r>
      <t xml:space="preserve"> ВАТ "Херсонський консервний завод дитячого харчування 
ім. 8 березня" 
</t>
    </r>
    <r>
      <rPr>
        <b/>
        <i/>
        <sz val="11"/>
        <rFont val="Times New Roman"/>
        <family val="1"/>
        <charset val="204"/>
      </rPr>
      <t>(</t>
    </r>
    <r>
      <rPr>
        <i/>
        <sz val="11"/>
        <rFont val="Times New Roman"/>
        <family val="1"/>
        <charset val="204"/>
      </rPr>
      <t>солідарна відповідальність 
з ВАТ "Укрімпекс" )</t>
    </r>
  </si>
  <si>
    <r>
      <t xml:space="preserve">ООО "Геснерія-Центр"
</t>
    </r>
    <r>
      <rPr>
        <i/>
        <sz val="11"/>
        <rFont val="Times New Roman"/>
        <family val="1"/>
        <charset val="204"/>
      </rPr>
      <t>(солідарна відповідальність з ВАТ  Укрімпекс")</t>
    </r>
  </si>
  <si>
    <r>
      <t xml:space="preserve">АТ "Агросоюз" 
</t>
    </r>
    <r>
      <rPr>
        <i/>
        <sz val="11"/>
        <rFont val="Times New Roman"/>
        <family val="1"/>
        <charset val="204"/>
      </rPr>
      <t>(солідарна відповідальність з Київською обласною державною адміністрацією)</t>
    </r>
  </si>
  <si>
    <t>Корпорація "Агродон"</t>
  </si>
  <si>
    <t xml:space="preserve">постанова КМУ 
від 15.03.06 №315 </t>
  </si>
  <si>
    <r>
      <t xml:space="preserve">ВАТ "Івано-Франківська меблева фабрика"   
</t>
    </r>
    <r>
      <rPr>
        <i/>
        <sz val="11"/>
        <rFont val="Times New Roman"/>
        <family val="1"/>
        <charset val="204"/>
      </rPr>
      <t>(солідарна відповідальність з ЛПО "Прикарпатліс", 
ХК "Прикарпатліс", 
ВАТ "Прикарпатський меблевий комбінат")</t>
    </r>
  </si>
  <si>
    <t xml:space="preserve">
№40-1858/96 від 30.08.1993 (Ландик В. І.)
</t>
  </si>
  <si>
    <t>Заборгованість позичальників, по яким існує державна реєстрація припинення юридичної особи</t>
  </si>
  <si>
    <t>Всього</t>
  </si>
  <si>
    <t>РАЗОМ</t>
  </si>
  <si>
    <t>№22-1175/5,№22-1178/5, №22-1166/5, №22-1165/5, №22-1164/5, №22-1160/5,№22-1159/5, № 22-1161/5, №22-1162/5, №22-1163/5, №22-1166/5 , від 25.05.92
 (Ситнік В.П.);  № 22-11/5 від 07.10.92, (Слєпічев)</t>
  </si>
  <si>
    <t xml:space="preserve">№ 22-1176/5 від 25.05.92, № 22-1179/5 від 25.05.92, № 22-1177/5 від 25.05.92
 (Ситнік В.П.)                                     </t>
  </si>
  <si>
    <t xml:space="preserve">постанова КМУ від 15.03.06 №315 </t>
  </si>
  <si>
    <t xml:space="preserve">Міністерством фінансів України </t>
  </si>
  <si>
    <t>КП "Агентство програм розвитку Одеси"</t>
  </si>
  <si>
    <t>Державна служба лікарських засобів і виробів медичного призначення 
(ІКУ №6216;6389;6390)</t>
  </si>
  <si>
    <t xml:space="preserve">Житомирська обласна державна адміністрація </t>
  </si>
  <si>
    <t>Угода від 11.12.2009 №28010-02/134 (7791)</t>
  </si>
  <si>
    <t>МКП "Миколаївводоканал"</t>
  </si>
  <si>
    <t>Договір від 02.10.2010 №28010-02/125</t>
  </si>
  <si>
    <t xml:space="preserve">НЕК "Укренерго" </t>
  </si>
  <si>
    <t>Договір від 23.07.97 
(Мітюков І.О.)</t>
  </si>
  <si>
    <t>Угода від 29.09.2011 №40518</t>
  </si>
  <si>
    <t>Договір про реструктуризацію 
від 16.03.2017 №13010-05/32</t>
  </si>
  <si>
    <t>Закон України від 
20.10.2016 №1701-VIII</t>
  </si>
  <si>
    <t>Договір про надання позики (Проект розвитку ринку електроенергії ) між Україною та МБРР</t>
  </si>
  <si>
    <t>Угода про позику №40980-UA від 01.11.1996</t>
  </si>
  <si>
    <t>ПАТ "ДТЕК Дніпроенерго"</t>
  </si>
  <si>
    <t>ВАТ "Макіївський металургійний комбінат"</t>
  </si>
  <si>
    <t>№40-1085/5 від 18.05.1992 (Слєпічев)</t>
  </si>
  <si>
    <r>
      <t xml:space="preserve">ЛПО "Прикарпатліс",  </t>
    </r>
    <r>
      <rPr>
        <i/>
        <sz val="11"/>
        <rFont val="Times New Roman"/>
        <family val="1"/>
        <charset val="204"/>
      </rPr>
      <t>(солідарна відповідальність з ХК "Прикарпатліс", 
ВАТ "Прикарпатський меблевий комбінат" та  ВАТ "Івано-Франківська меблева фабрика")</t>
    </r>
  </si>
  <si>
    <t>виробниче обладнання</t>
  </si>
  <si>
    <t xml:space="preserve"> </t>
  </si>
  <si>
    <t>ТОВ «ЕСОММ СО»</t>
  </si>
  <si>
    <t>Договір від 29.12.2017 №13010-05/224</t>
  </si>
  <si>
    <t>технічне переоснащення</t>
  </si>
  <si>
    <t>Угода від 11.10.2012 №15010-03/98</t>
  </si>
  <si>
    <t xml:space="preserve">ДАК "Хліб України" </t>
  </si>
  <si>
    <t>розпорядження КМУ від 23.08.1996 №534-р, від 02.09.1996 №548-р</t>
  </si>
  <si>
    <t>Міжурядові угоди від 21.07.1993 (Персіянов О. Б), від 04.03.1994 (Карасик Ю. М.), від 29.12.1995 (Щербак Ю. М.)</t>
  </si>
  <si>
    <t>ДП "Агентство з реструктуризації заборгованості підприємств агропромислового комплексу"</t>
  </si>
  <si>
    <t>Акт передачі-приймання кредиторської забооргованості від 31.07.2003</t>
  </si>
  <si>
    <t>ДП "Укркосмос"</t>
  </si>
  <si>
    <t>  Договір   №28010-02/137 від 15.12.2009</t>
  </si>
  <si>
    <t>КП "Дніпропетровський метрополітен"</t>
  </si>
  <si>
    <t>Угода від 21.12.2012 №15010-03/138</t>
  </si>
  <si>
    <t xml:space="preserve">Гарантійне зобов'язання від 11.03.1996 №2-13-89
Постанова Господарського суду м. Києва  від 06.12.2007 справа №32/120-А  - позовні вимоги визнані необгрунтованими та задоволенню не підлягають </t>
  </si>
  <si>
    <r>
      <t xml:space="preserve">Київська обласна державна адміністрація*
</t>
    </r>
    <r>
      <rPr>
        <i/>
        <sz val="11"/>
        <rFont val="Times New Roman"/>
        <family val="1"/>
        <charset val="204"/>
      </rPr>
      <t>(солідарна з АТ "Агросоюз")</t>
    </r>
  </si>
  <si>
    <t>КП "Вінницяоблводоканал"</t>
  </si>
  <si>
    <t>КП "Дніпротеплоенерго"</t>
  </si>
  <si>
    <t>Угода від 28.02.2017 №13010-05/25</t>
  </si>
  <si>
    <t>Угода від 28.02.2017 №13010-05/26</t>
  </si>
  <si>
    <t>Угода від 28.11.2014 №13010-05/121</t>
  </si>
  <si>
    <t>Угода від 28.11.2014 №13010-05/122</t>
  </si>
  <si>
    <t>КП "Тернопільміськтеплокомуненерго"</t>
  </si>
  <si>
    <t>Угода від 18.08.2016 №13010-05/79</t>
  </si>
  <si>
    <t>Угода від 18.08.2016 №13010-05/80</t>
  </si>
  <si>
    <t>ОКП "Миколаївоблтеплоенерго"</t>
  </si>
  <si>
    <t>Угода від 20.11.2014 №13010-05/107</t>
  </si>
  <si>
    <t>Угода від 20.11.2014 №13010-05/108</t>
  </si>
  <si>
    <t>КП "Харківські теплові мережі"</t>
  </si>
  <si>
    <t>Угода від 20.11.2014 №13010-05/103</t>
  </si>
  <si>
    <t>Угода від 20.11.2014 №13010-05/104</t>
  </si>
  <si>
    <t>МКП "Херсонтеплоенерго"</t>
  </si>
  <si>
    <t>Угода від 20.11.2014 №13010-05/105</t>
  </si>
  <si>
    <t>Угода від 20.11.2014 №13010-05/106</t>
  </si>
  <si>
    <t>КП "Міськтепловодоенергія"</t>
  </si>
  <si>
    <t>Угода від 20.11.2014 №13010-05/101</t>
  </si>
  <si>
    <t>Угода від 20.11.2014 №13010-05/102</t>
  </si>
  <si>
    <t>Угода від 20.11.2014 №13010-05/93</t>
  </si>
  <si>
    <t>Угода від 20.11.2014 №13010-05/94</t>
  </si>
  <si>
    <t>КП "Муніципальна компанія поводження з відходами" м. Харків</t>
  </si>
  <si>
    <t>Угода від 20.11.2014 №13010-05/89</t>
  </si>
  <si>
    <t>Угода від 20.11.2014 №13010-05/90</t>
  </si>
  <si>
    <t>КВП "Дніпро-Кіровоград"</t>
  </si>
  <si>
    <t>Угода від 20.11.2014 №13010-05/97</t>
  </si>
  <si>
    <t>Угода від 20.11.2014 №13010-05/98</t>
  </si>
  <si>
    <t>КП "Житомирводоканал"</t>
  </si>
  <si>
    <t>Угода від 20.11.2014 №13010-05/91</t>
  </si>
  <si>
    <t>Угода від 20.11.2014 №13010-05/92</t>
  </si>
  <si>
    <t>КП "Тернопільводоканал"</t>
  </si>
  <si>
    <t>Угода від 20.11.2014 №13010-05/95</t>
  </si>
  <si>
    <t>Угода від 20.11.2014 №13010-05/96</t>
  </si>
  <si>
    <t>ПАТ "Київводоканал"</t>
  </si>
  <si>
    <t>Угода від 04.12.2014 №13010-05/128</t>
  </si>
  <si>
    <t>Угода від 04.12.2014 №13010-05/129</t>
  </si>
  <si>
    <t>КП "Краматорський водоканал"</t>
  </si>
  <si>
    <t>Угода від 04.12.2014 №13010-05/127</t>
  </si>
  <si>
    <t>Угода від 17.06.2015 №13010-05/63</t>
  </si>
  <si>
    <t>Підприємство "Нововолинськводоканал"</t>
  </si>
  <si>
    <t>Угода від 03.05.2017 №13010-05/68</t>
  </si>
  <si>
    <t>Угода від 28.02.2017 №13010-05/24</t>
  </si>
  <si>
    <t>Заборгованість перед державною
млн. дол. США
(на 01.09.2019)</t>
  </si>
  <si>
    <t>КП "Вінницяміськтеплоенерго"</t>
  </si>
  <si>
    <t>Угода від 20.11.2014 №13010-05/99</t>
  </si>
  <si>
    <t>НАК "Нафтогаз" ДК "Укртрансгаз "</t>
  </si>
  <si>
    <t xml:space="preserve">ІНФОРМАЦІЙНА ДОВІДКА
 щодо стану простроченої заборгованості позичальників перед державою за позиками, наданими державою або під державні гарантії, 
за станом на 01.10.2019р. </t>
  </si>
  <si>
    <t>(курс Національного банку України на 30.09.2019)</t>
  </si>
  <si>
    <t xml:space="preserve">Державною казначейською
службою України
(станом на 01.09.2019) </t>
  </si>
  <si>
    <t xml:space="preserve">Договір від 29.05.2015 №13010-05/59, Кредитна угода від 15.12.2014 №42608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</si>
</sst>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0.000"/>
    <numFmt numFmtId="166" formatCode="#,##0.0000000000"/>
    <numFmt numFmtId="167" formatCode="#,##0.000"/>
    <numFmt numFmtId="168" formatCode="#,##0.00000"/>
    <numFmt numFmtId="169" formatCode="#,##0.000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164" fontId="12" fillId="0" borderId="0" applyFont="0" applyFill="0" applyBorder="0" applyAlignment="0" applyProtection="0"/>
  </cellStyleXfs>
  <cellXfs count="237">
    <xf numFmtId="0" fontId="0" fillId="0" borderId="0" xfId="0"/>
    <xf numFmtId="4" fontId="1" fillId="0" borderId="1" xfId="0" applyNumberFormat="1" applyFont="1" applyFill="1" applyBorder="1" applyAlignment="1">
      <alignment horizontal="right" vertical="center"/>
    </xf>
    <xf numFmtId="4" fontId="1" fillId="4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 applyProtection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167" fontId="1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8" fontId="6" fillId="0" borderId="2" xfId="1" applyNumberFormat="1" applyFont="1" applyFill="1" applyBorder="1" applyAlignment="1">
      <alignment horizontal="center" vertical="center" wrapText="1"/>
    </xf>
    <xf numFmtId="168" fontId="1" fillId="0" borderId="2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right" vertical="center"/>
    </xf>
    <xf numFmtId="4" fontId="1" fillId="4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" fontId="1" fillId="4" borderId="4" xfId="0" applyNumberFormat="1" applyFont="1" applyFill="1" applyBorder="1" applyAlignment="1">
      <alignment horizontal="right" vertical="center"/>
    </xf>
    <xf numFmtId="165" fontId="3" fillId="0" borderId="2" xfId="0" applyNumberFormat="1" applyFont="1" applyFill="1" applyBorder="1" applyAlignment="1">
      <alignment horizontal="right" wrapText="1"/>
    </xf>
    <xf numFmtId="4" fontId="1" fillId="4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/>
    <xf numFmtId="0" fontId="1" fillId="0" borderId="4" xfId="0" applyNumberFormat="1" applyFont="1" applyFill="1" applyBorder="1" applyAlignment="1" applyProtection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4" fillId="4" borderId="0" xfId="0" applyFont="1" applyFill="1"/>
    <xf numFmtId="4" fontId="7" fillId="4" borderId="0" xfId="0" applyNumberFormat="1" applyFont="1" applyFill="1"/>
    <xf numFmtId="4" fontId="4" fillId="4" borderId="0" xfId="0" applyNumberFormat="1" applyFont="1" applyFill="1"/>
    <xf numFmtId="0" fontId="7" fillId="4" borderId="0" xfId="0" applyFont="1" applyFill="1" applyBorder="1"/>
    <xf numFmtId="166" fontId="7" fillId="0" borderId="0" xfId="0" applyNumberFormat="1" applyFont="1"/>
    <xf numFmtId="0" fontId="4" fillId="5" borderId="2" xfId="0" applyFont="1" applyFill="1" applyBorder="1" applyAlignment="1">
      <alignment horizontal="center"/>
    </xf>
    <xf numFmtId="3" fontId="4" fillId="5" borderId="2" xfId="0" applyNumberFormat="1" applyFont="1" applyFill="1" applyBorder="1" applyAlignment="1">
      <alignment horizontal="center"/>
    </xf>
    <xf numFmtId="167" fontId="7" fillId="4" borderId="2" xfId="0" applyNumberFormat="1" applyFont="1" applyFill="1" applyBorder="1" applyAlignment="1">
      <alignment horizontal="right" vertical="center"/>
    </xf>
    <xf numFmtId="167" fontId="4" fillId="5" borderId="2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165" fontId="4" fillId="5" borderId="2" xfId="0" applyNumberFormat="1" applyFont="1" applyFill="1" applyBorder="1" applyAlignment="1">
      <alignment horizontal="right" vertical="center"/>
    </xf>
    <xf numFmtId="167" fontId="4" fillId="5" borderId="2" xfId="0" applyNumberFormat="1" applyFont="1" applyFill="1" applyBorder="1" applyAlignment="1">
      <alignment horizontal="right"/>
    </xf>
    <xf numFmtId="167" fontId="7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4" fontId="7" fillId="4" borderId="2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167" fontId="7" fillId="0" borderId="7" xfId="0" applyNumberFormat="1" applyFont="1" applyFill="1" applyBorder="1" applyAlignment="1">
      <alignment horizontal="right" vertical="center"/>
    </xf>
    <xf numFmtId="167" fontId="7" fillId="0" borderId="1" xfId="0" applyNumberFormat="1" applyFont="1" applyFill="1" applyBorder="1" applyAlignment="1">
      <alignment horizontal="right" vertical="center"/>
    </xf>
    <xf numFmtId="167" fontId="7" fillId="4" borderId="2" xfId="0" applyNumberFormat="1" applyFont="1" applyFill="1" applyBorder="1" applyAlignment="1">
      <alignment vertical="center"/>
    </xf>
    <xf numFmtId="167" fontId="4" fillId="5" borderId="2" xfId="0" applyNumberFormat="1" applyFont="1" applyFill="1" applyBorder="1" applyAlignment="1">
      <alignment vertical="center"/>
    </xf>
    <xf numFmtId="167" fontId="7" fillId="0" borderId="6" xfId="0" applyNumberFormat="1" applyFont="1" applyFill="1" applyBorder="1" applyAlignment="1">
      <alignment horizontal="right" vertical="center"/>
    </xf>
    <xf numFmtId="167" fontId="7" fillId="0" borderId="2" xfId="0" applyNumberFormat="1" applyFont="1" applyFill="1" applyBorder="1" applyAlignment="1">
      <alignment horizontal="right" vertical="center" wrapText="1"/>
    </xf>
    <xf numFmtId="167" fontId="7" fillId="4" borderId="3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 applyProtection="1">
      <alignment horizontal="right" wrapText="1"/>
    </xf>
    <xf numFmtId="167" fontId="7" fillId="4" borderId="2" xfId="0" applyNumberFormat="1" applyFont="1" applyFill="1" applyBorder="1"/>
    <xf numFmtId="167" fontId="7" fillId="4" borderId="1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horizontal="right" wrapText="1"/>
    </xf>
    <xf numFmtId="165" fontId="4" fillId="5" borderId="2" xfId="0" applyNumberFormat="1" applyFont="1" applyFill="1" applyBorder="1" applyAlignment="1">
      <alignment horizontal="right" wrapText="1"/>
    </xf>
    <xf numFmtId="165" fontId="4" fillId="3" borderId="2" xfId="0" applyNumberFormat="1" applyFont="1" applyFill="1" applyBorder="1" applyAlignment="1">
      <alignment horizontal="right"/>
    </xf>
    <xf numFmtId="167" fontId="4" fillId="5" borderId="3" xfId="0" applyNumberFormat="1" applyFont="1" applyFill="1" applyBorder="1" applyAlignment="1">
      <alignment horizontal="right" vertical="center"/>
    </xf>
    <xf numFmtId="167" fontId="7" fillId="4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 applyProtection="1">
      <alignment horizontal="right" wrapText="1"/>
    </xf>
    <xf numFmtId="165" fontId="4" fillId="5" borderId="2" xfId="0" applyNumberFormat="1" applyFont="1" applyFill="1" applyBorder="1" applyAlignment="1">
      <alignment horizontal="right"/>
    </xf>
    <xf numFmtId="167" fontId="7" fillId="0" borderId="2" xfId="0" applyNumberFormat="1" applyFont="1" applyFill="1" applyBorder="1" applyAlignment="1">
      <alignment vertical="center"/>
    </xf>
    <xf numFmtId="167" fontId="7" fillId="0" borderId="1" xfId="0" applyNumberFormat="1" applyFont="1" applyFill="1" applyBorder="1" applyAlignment="1">
      <alignment vertical="center"/>
    </xf>
    <xf numFmtId="0" fontId="4" fillId="6" borderId="8" xfId="0" applyFont="1" applyFill="1" applyBorder="1" applyAlignment="1">
      <alignment horizontal="center"/>
    </xf>
    <xf numFmtId="4" fontId="4" fillId="6" borderId="8" xfId="0" applyNumberFormat="1" applyFont="1" applyFill="1" applyBorder="1" applyAlignment="1">
      <alignment horizontal="center"/>
    </xf>
    <xf numFmtId="167" fontId="4" fillId="6" borderId="8" xfId="0" applyNumberFormat="1" applyFont="1" applyFill="1" applyBorder="1" applyAlignment="1">
      <alignment horizontal="center"/>
    </xf>
    <xf numFmtId="167" fontId="4" fillId="6" borderId="8" xfId="0" applyNumberFormat="1" applyFont="1" applyFill="1" applyBorder="1" applyAlignment="1">
      <alignment horizontal="right"/>
    </xf>
    <xf numFmtId="167" fontId="4" fillId="6" borderId="8" xfId="0" applyNumberFormat="1" applyFont="1" applyFill="1" applyBorder="1" applyAlignment="1">
      <alignment horizontal="right" vertical="center"/>
    </xf>
    <xf numFmtId="0" fontId="4" fillId="0" borderId="0" xfId="0" applyFont="1" applyFill="1"/>
    <xf numFmtId="169" fontId="4" fillId="0" borderId="0" xfId="0" applyNumberFormat="1" applyFont="1" applyFill="1"/>
    <xf numFmtId="0" fontId="7" fillId="0" borderId="0" xfId="0" applyFont="1" applyFill="1"/>
    <xf numFmtId="169" fontId="7" fillId="0" borderId="0" xfId="0" applyNumberFormat="1" applyFont="1" applyFill="1"/>
    <xf numFmtId="167" fontId="4" fillId="5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/>
    <xf numFmtId="167" fontId="7" fillId="0" borderId="9" xfId="0" applyNumberFormat="1" applyFont="1" applyFill="1" applyBorder="1" applyAlignment="1">
      <alignment horizontal="right" vertical="center"/>
    </xf>
    <xf numFmtId="167" fontId="7" fillId="0" borderId="6" xfId="0" applyNumberFormat="1" applyFont="1" applyBorder="1" applyAlignment="1">
      <alignment horizontal="right" vertical="center" wrapText="1"/>
    </xf>
    <xf numFmtId="167" fontId="7" fillId="0" borderId="2" xfId="0" applyNumberFormat="1" applyFont="1" applyFill="1" applyBorder="1" applyAlignment="1">
      <alignment horizontal="right" vertical="center" shrinkToFit="1"/>
    </xf>
    <xf numFmtId="167" fontId="7" fillId="0" borderId="6" xfId="0" applyNumberFormat="1" applyFont="1" applyFill="1" applyBorder="1" applyAlignment="1">
      <alignment horizontal="right" vertical="center" wrapText="1"/>
    </xf>
    <xf numFmtId="167" fontId="7" fillId="0" borderId="6" xfId="0" applyNumberFormat="1" applyFont="1" applyBorder="1" applyAlignment="1">
      <alignment vertical="center" wrapText="1"/>
    </xf>
    <xf numFmtId="167" fontId="7" fillId="0" borderId="0" xfId="0" applyNumberFormat="1" applyFont="1" applyFill="1" applyBorder="1" applyAlignment="1">
      <alignment vertical="center"/>
    </xf>
    <xf numFmtId="167" fontId="7" fillId="0" borderId="2" xfId="0" applyNumberFormat="1" applyFont="1" applyFill="1" applyBorder="1" applyAlignment="1" applyProtection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/>
    </xf>
    <xf numFmtId="4" fontId="4" fillId="6" borderId="8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4" fontId="4" fillId="4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4" fontId="7" fillId="0" borderId="0" xfId="0" applyNumberFormat="1" applyFont="1" applyFill="1"/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 wrapText="1"/>
    </xf>
    <xf numFmtId="164" fontId="4" fillId="0" borderId="2" xfId="2" applyFont="1" applyBorder="1" applyAlignment="1">
      <alignment horizontal="left" vertical="center" wrapText="1"/>
    </xf>
    <xf numFmtId="164" fontId="4" fillId="0" borderId="2" xfId="2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64" fontId="4" fillId="2" borderId="2" xfId="2" applyFont="1" applyFill="1" applyBorder="1" applyAlignment="1">
      <alignment vertical="center" wrapText="1"/>
    </xf>
    <xf numFmtId="164" fontId="4" fillId="2" borderId="2" xfId="2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164" fontId="4" fillId="2" borderId="2" xfId="2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right" wrapText="1"/>
    </xf>
    <xf numFmtId="167" fontId="7" fillId="4" borderId="0" xfId="0" applyNumberFormat="1" applyFont="1" applyFill="1" applyBorder="1"/>
    <xf numFmtId="4" fontId="7" fillId="4" borderId="0" xfId="0" applyNumberFormat="1" applyFont="1" applyFill="1" applyBorder="1"/>
    <xf numFmtId="4" fontId="1" fillId="4" borderId="2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167" fontId="7" fillId="4" borderId="1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vertical="center" wrapText="1"/>
    </xf>
    <xf numFmtId="167" fontId="4" fillId="6" borderId="14" xfId="0" applyNumberFormat="1" applyFont="1" applyFill="1" applyBorder="1" applyAlignment="1">
      <alignment horizontal="right" vertical="center"/>
    </xf>
    <xf numFmtId="167" fontId="7" fillId="0" borderId="6" xfId="0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right" vertical="center"/>
    </xf>
    <xf numFmtId="4" fontId="7" fillId="0" borderId="6" xfId="0" applyNumberFormat="1" applyFont="1" applyFill="1" applyBorder="1" applyAlignment="1">
      <alignment horizontal="center" vertical="center"/>
    </xf>
    <xf numFmtId="167" fontId="7" fillId="0" borderId="2" xfId="0" applyNumberFormat="1" applyFont="1" applyBorder="1" applyAlignment="1">
      <alignment horizontal="right" vertical="center" wrapText="1"/>
    </xf>
    <xf numFmtId="4" fontId="7" fillId="4" borderId="2" xfId="0" applyNumberFormat="1" applyFont="1" applyFill="1" applyBorder="1"/>
    <xf numFmtId="167" fontId="7" fillId="0" borderId="2" xfId="0" applyNumberFormat="1" applyFont="1" applyFill="1" applyBorder="1"/>
    <xf numFmtId="4" fontId="7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right" vertical="center"/>
    </xf>
    <xf numFmtId="167" fontId="7" fillId="0" borderId="2" xfId="0" applyNumberFormat="1" applyFont="1" applyFill="1" applyBorder="1" applyAlignment="1">
      <alignment horizontal="right"/>
    </xf>
    <xf numFmtId="167" fontId="7" fillId="0" borderId="3" xfId="0" applyNumberFormat="1" applyFont="1" applyFill="1" applyBorder="1" applyAlignment="1">
      <alignment horizontal="right"/>
    </xf>
    <xf numFmtId="167" fontId="4" fillId="0" borderId="8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horizontal="center"/>
    </xf>
    <xf numFmtId="167" fontId="7" fillId="5" borderId="6" xfId="0" applyNumberFormat="1" applyFont="1" applyFill="1" applyBorder="1" applyAlignment="1">
      <alignment horizontal="right" vertical="center" wrapText="1"/>
    </xf>
    <xf numFmtId="167" fontId="7" fillId="5" borderId="2" xfId="0" applyNumberFormat="1" applyFont="1" applyFill="1" applyBorder="1" applyAlignment="1">
      <alignment horizontal="right" vertical="center"/>
    </xf>
    <xf numFmtId="167" fontId="7" fillId="5" borderId="6" xfId="0" applyNumberFormat="1" applyFont="1" applyFill="1" applyBorder="1" applyAlignment="1">
      <alignment horizontal="right" vertical="center"/>
    </xf>
    <xf numFmtId="167" fontId="4" fillId="0" borderId="2" xfId="0" applyNumberFormat="1" applyFont="1" applyFill="1" applyBorder="1" applyAlignment="1">
      <alignment horizontal="right" vertical="center"/>
    </xf>
    <xf numFmtId="167" fontId="7" fillId="4" borderId="1" xfId="0" applyNumberFormat="1" applyFont="1" applyFill="1" applyBorder="1" applyAlignment="1">
      <alignment horizontal="right" vertical="center"/>
    </xf>
    <xf numFmtId="167" fontId="7" fillId="4" borderId="6" xfId="0" applyNumberFormat="1" applyFont="1" applyFill="1" applyBorder="1" applyAlignment="1">
      <alignment horizontal="right" vertical="center"/>
    </xf>
    <xf numFmtId="167" fontId="4" fillId="5" borderId="1" xfId="0" applyNumberFormat="1" applyFont="1" applyFill="1" applyBorder="1" applyAlignment="1">
      <alignment horizontal="right" vertical="center"/>
    </xf>
    <xf numFmtId="167" fontId="4" fillId="5" borderId="6" xfId="0" applyNumberFormat="1" applyFont="1" applyFill="1" applyBorder="1" applyAlignment="1">
      <alignment horizontal="right" vertical="center"/>
    </xf>
    <xf numFmtId="167" fontId="4" fillId="5" borderId="1" xfId="0" applyNumberFormat="1" applyFont="1" applyFill="1" applyBorder="1" applyAlignment="1">
      <alignment vertical="center"/>
    </xf>
    <xf numFmtId="167" fontId="4" fillId="5" borderId="6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7" fontId="4" fillId="5" borderId="6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169" fontId="7" fillId="7" borderId="0" xfId="0" applyNumberFormat="1" applyFont="1" applyFill="1"/>
    <xf numFmtId="0" fontId="7" fillId="7" borderId="0" xfId="0" applyFont="1" applyFill="1" applyBorder="1"/>
    <xf numFmtId="0" fontId="4" fillId="7" borderId="0" xfId="0" applyFont="1" applyFill="1"/>
    <xf numFmtId="4" fontId="7" fillId="7" borderId="0" xfId="0" applyNumberFormat="1" applyFont="1" applyFill="1" applyBorder="1"/>
    <xf numFmtId="4" fontId="7" fillId="0" borderId="0" xfId="0" applyNumberFormat="1" applyFont="1" applyFill="1" applyBorder="1"/>
    <xf numFmtId="0" fontId="8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4" borderId="0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169" fontId="4" fillId="6" borderId="8" xfId="0" applyNumberFormat="1" applyFont="1" applyFill="1" applyBorder="1" applyAlignment="1">
      <alignment horizontal="right" vertical="center"/>
    </xf>
    <xf numFmtId="0" fontId="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center"/>
    </xf>
    <xf numFmtId="4" fontId="4" fillId="6" borderId="6" xfId="0" applyNumberFormat="1" applyFont="1" applyFill="1" applyBorder="1" applyAlignment="1">
      <alignment horizontal="right" vertical="center"/>
    </xf>
    <xf numFmtId="167" fontId="4" fillId="6" borderId="6" xfId="0" applyNumberFormat="1" applyFont="1" applyFill="1" applyBorder="1" applyAlignment="1">
      <alignment horizontal="center"/>
    </xf>
    <xf numFmtId="167" fontId="4" fillId="6" borderId="6" xfId="0" applyNumberFormat="1" applyFont="1" applyFill="1" applyBorder="1" applyAlignment="1">
      <alignment horizontal="right"/>
    </xf>
    <xf numFmtId="167" fontId="4" fillId="6" borderId="6" xfId="0" applyNumberFormat="1" applyFont="1" applyFill="1" applyBorder="1" applyAlignment="1">
      <alignment horizontal="right" vertical="center"/>
    </xf>
    <xf numFmtId="4" fontId="4" fillId="4" borderId="0" xfId="0" applyNumberFormat="1" applyFont="1" applyFill="1" applyBorder="1"/>
    <xf numFmtId="0" fontId="4" fillId="4" borderId="6" xfId="0" applyFont="1" applyFill="1" applyBorder="1" applyAlignment="1">
      <alignment horizontal="left" vertical="center" wrapText="1"/>
    </xf>
    <xf numFmtId="167" fontId="7" fillId="4" borderId="2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167" fontId="7" fillId="4" borderId="1" xfId="0" applyNumberFormat="1" applyFont="1" applyFill="1" applyBorder="1" applyAlignment="1">
      <alignment horizontal="right" vertical="center"/>
    </xf>
    <xf numFmtId="167" fontId="4" fillId="5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64" fontId="4" fillId="2" borderId="1" xfId="2" applyFont="1" applyFill="1" applyBorder="1" applyAlignment="1">
      <alignment horizontal="left" vertical="center" wrapText="1"/>
    </xf>
    <xf numFmtId="164" fontId="4" fillId="2" borderId="6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67" fontId="7" fillId="0" borderId="1" xfId="0" applyNumberFormat="1" applyFont="1" applyFill="1" applyBorder="1" applyAlignment="1">
      <alignment horizontal="right" vertical="center"/>
    </xf>
    <xf numFmtId="167" fontId="7" fillId="0" borderId="6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167" fontId="7" fillId="4" borderId="1" xfId="0" applyNumberFormat="1" applyFont="1" applyFill="1" applyBorder="1" applyAlignment="1">
      <alignment horizontal="right" vertical="center"/>
    </xf>
    <xf numFmtId="167" fontId="7" fillId="4" borderId="6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167" fontId="7" fillId="0" borderId="2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7" fontId="4" fillId="5" borderId="1" xfId="0" applyNumberFormat="1" applyFont="1" applyFill="1" applyBorder="1" applyAlignment="1">
      <alignment horizontal="right" vertical="center"/>
    </xf>
    <xf numFmtId="167" fontId="4" fillId="5" borderId="9" xfId="0" applyNumberFormat="1" applyFont="1" applyFill="1" applyBorder="1" applyAlignment="1">
      <alignment horizontal="right" vertical="center"/>
    </xf>
    <xf numFmtId="167" fontId="4" fillId="5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67" fontId="7" fillId="4" borderId="9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vertical="center"/>
    </xf>
    <xf numFmtId="167" fontId="4" fillId="5" borderId="9" xfId="0" applyNumberFormat="1" applyFont="1" applyFill="1" applyBorder="1" applyAlignment="1">
      <alignment vertical="center"/>
    </xf>
    <xf numFmtId="167" fontId="4" fillId="5" borderId="6" xfId="0" applyNumberFormat="1" applyFont="1" applyFill="1" applyBorder="1" applyAlignment="1">
      <alignment vertical="center"/>
    </xf>
    <xf numFmtId="4" fontId="2" fillId="4" borderId="11" xfId="0" applyNumberFormat="1" applyFont="1" applyFill="1" applyBorder="1" applyAlignment="1">
      <alignment wrapText="1"/>
    </xf>
    <xf numFmtId="4" fontId="2" fillId="4" borderId="3" xfId="0" applyNumberFormat="1" applyFont="1" applyFill="1" applyBorder="1" applyAlignment="1">
      <alignment wrapText="1"/>
    </xf>
    <xf numFmtId="4" fontId="2" fillId="4" borderId="1" xfId="0" applyNumberFormat="1" applyFont="1" applyFill="1" applyBorder="1" applyAlignment="1">
      <alignment horizontal="right" vertical="center"/>
    </xf>
    <xf numFmtId="4" fontId="2" fillId="4" borderId="9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167" fontId="8" fillId="4" borderId="1" xfId="0" applyNumberFormat="1" applyFont="1" applyFill="1" applyBorder="1" applyAlignment="1">
      <alignment horizontal="right" vertical="center"/>
    </xf>
    <xf numFmtId="167" fontId="8" fillId="4" borderId="9" xfId="0" applyNumberFormat="1" applyFont="1" applyFill="1" applyBorder="1" applyAlignment="1">
      <alignment horizontal="right" vertical="center"/>
    </xf>
    <xf numFmtId="167" fontId="8" fillId="4" borderId="6" xfId="0" applyNumberFormat="1" applyFont="1" applyFill="1" applyBorder="1" applyAlignment="1">
      <alignment horizontal="right" vertical="center"/>
    </xf>
    <xf numFmtId="4" fontId="4" fillId="4" borderId="15" xfId="0" applyNumberFormat="1" applyFont="1" applyFill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4" borderId="17" xfId="0" applyNumberFormat="1" applyFont="1" applyFill="1" applyBorder="1" applyAlignment="1">
      <alignment horizontal="center" vertical="center" wrapText="1"/>
    </xf>
    <xf numFmtId="167" fontId="4" fillId="5" borderId="1" xfId="0" applyNumberFormat="1" applyFont="1" applyFill="1" applyBorder="1" applyAlignment="1">
      <alignment horizontal="right" vertical="center" wrapText="1"/>
    </xf>
    <xf numFmtId="167" fontId="4" fillId="5" borderId="6" xfId="0" applyNumberFormat="1" applyFont="1" applyFill="1" applyBorder="1" applyAlignment="1">
      <alignment horizontal="right" vertical="center" wrapText="1"/>
    </xf>
  </cellXfs>
  <cellStyles count="3">
    <cellStyle name="Звичайний" xfId="0" builtinId="0"/>
    <cellStyle name="Обычный_Лист1" xfId="1"/>
    <cellStyle name="Фінансови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07"/>
  <sheetViews>
    <sheetView tabSelected="1" view="pageBreakPreview" topLeftCell="A185" zoomScale="60" zoomScaleNormal="90" workbookViewId="0">
      <selection activeCell="K9" sqref="K9"/>
    </sheetView>
  </sheetViews>
  <sheetFormatPr defaultRowHeight="15" x14ac:dyDescent="0.25"/>
  <cols>
    <col min="1" max="1" width="41.42578125" style="32" customWidth="1"/>
    <col min="2" max="2" width="26.7109375" style="31" customWidth="1"/>
    <col min="3" max="3" width="36.5703125" style="31" customWidth="1"/>
    <col min="4" max="4" width="18.28515625" style="31" bestFit="1" customWidth="1"/>
    <col min="5" max="5" width="21.42578125" style="31" customWidth="1"/>
    <col min="6" max="6" width="20.5703125" style="32" bestFit="1" customWidth="1"/>
    <col min="7" max="7" width="22.140625" style="93" bestFit="1" customWidth="1"/>
    <col min="8" max="8" width="20.28515625" style="33" bestFit="1" customWidth="1"/>
    <col min="9" max="9" width="15.5703125" style="31" customWidth="1"/>
    <col min="10" max="10" width="21.42578125" style="34" bestFit="1" customWidth="1"/>
    <col min="11" max="11" width="12.42578125" style="35" bestFit="1" customWidth="1"/>
    <col min="12" max="12" width="5.28515625" style="35" bestFit="1" customWidth="1"/>
    <col min="13" max="13" width="9.140625" style="35"/>
    <col min="14" max="14" width="2" style="35" bestFit="1" customWidth="1"/>
    <col min="15" max="16384" width="9.140625" style="35"/>
  </cols>
  <sheetData>
    <row r="1" spans="1:14" x14ac:dyDescent="0.25">
      <c r="A1" s="166"/>
      <c r="B1" s="35"/>
      <c r="C1" s="35"/>
      <c r="D1" s="35"/>
      <c r="E1" s="35"/>
      <c r="F1" s="166"/>
      <c r="G1" s="163"/>
      <c r="H1" s="121"/>
      <c r="I1" s="35"/>
      <c r="J1" s="176"/>
    </row>
    <row r="2" spans="1:14" ht="59.25" customHeight="1" x14ac:dyDescent="0.25">
      <c r="A2" s="205" t="s">
        <v>410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4" x14ac:dyDescent="0.25">
      <c r="A3" s="207" t="s">
        <v>411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4" x14ac:dyDescent="0.25">
      <c r="A4" s="164" t="s">
        <v>346</v>
      </c>
      <c r="B4" s="164"/>
      <c r="C4" s="164"/>
      <c r="D4" s="164"/>
      <c r="E4" s="164"/>
      <c r="F4" s="164"/>
      <c r="G4" s="165"/>
      <c r="H4" s="164"/>
      <c r="I4" s="164"/>
      <c r="J4" s="164"/>
    </row>
    <row r="5" spans="1:14" x14ac:dyDescent="0.25">
      <c r="A5" s="166"/>
      <c r="B5" s="35"/>
      <c r="C5" s="35"/>
      <c r="D5" s="35"/>
      <c r="E5" s="35"/>
      <c r="F5" s="166"/>
      <c r="G5" s="163"/>
      <c r="H5" s="121"/>
      <c r="I5" s="35"/>
      <c r="J5" s="176"/>
    </row>
    <row r="6" spans="1:14" ht="52.5" customHeight="1" x14ac:dyDescent="0.25">
      <c r="A6" s="211" t="s">
        <v>304</v>
      </c>
      <c r="B6" s="211" t="s">
        <v>54</v>
      </c>
      <c r="C6" s="211" t="s">
        <v>55</v>
      </c>
      <c r="D6" s="211" t="s">
        <v>63</v>
      </c>
      <c r="E6" s="211" t="s">
        <v>57</v>
      </c>
      <c r="F6" s="211" t="s">
        <v>406</v>
      </c>
      <c r="G6" s="210" t="s">
        <v>56</v>
      </c>
      <c r="H6" s="210"/>
      <c r="I6" s="210" t="s">
        <v>305</v>
      </c>
      <c r="J6" s="210"/>
      <c r="K6" s="36">
        <f>2633.4552/2408.2809</f>
        <v>1.0935000148861371</v>
      </c>
      <c r="L6" s="35" t="s">
        <v>60</v>
      </c>
    </row>
    <row r="7" spans="1:14" ht="58.5" customHeight="1" x14ac:dyDescent="0.25">
      <c r="A7" s="212"/>
      <c r="B7" s="212"/>
      <c r="C7" s="212"/>
      <c r="D7" s="212"/>
      <c r="E7" s="212"/>
      <c r="F7" s="212"/>
      <c r="G7" s="135" t="s">
        <v>327</v>
      </c>
      <c r="H7" s="26" t="s">
        <v>412</v>
      </c>
      <c r="I7" s="154">
        <v>2018</v>
      </c>
      <c r="J7" s="154">
        <v>2019</v>
      </c>
    </row>
    <row r="8" spans="1:14" x14ac:dyDescent="0.25">
      <c r="A8" s="16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8">
        <v>7</v>
      </c>
      <c r="H8" s="38">
        <v>8</v>
      </c>
      <c r="I8" s="38">
        <v>9</v>
      </c>
      <c r="J8" s="38">
        <v>10</v>
      </c>
      <c r="K8" s="35">
        <v>24.082809000000001</v>
      </c>
      <c r="L8" s="35" t="s">
        <v>62</v>
      </c>
    </row>
    <row r="9" spans="1:14" ht="38.25" x14ac:dyDescent="0.25">
      <c r="A9" s="94" t="s">
        <v>15</v>
      </c>
      <c r="B9" s="5"/>
      <c r="C9" s="5" t="s">
        <v>58</v>
      </c>
      <c r="D9" s="39">
        <f>(31.33472/1.95583)*K6</f>
        <v>17.51916924602493</v>
      </c>
      <c r="E9" s="4" t="s">
        <v>59</v>
      </c>
      <c r="F9" s="40">
        <f>6.10404959*K6</f>
        <v>6.6747783175307189</v>
      </c>
      <c r="G9" s="44">
        <v>0</v>
      </c>
      <c r="H9" s="44">
        <f>16602698.89/1000000</f>
        <v>16.602698889999999</v>
      </c>
      <c r="I9" s="40">
        <v>0</v>
      </c>
      <c r="J9" s="40">
        <v>0</v>
      </c>
      <c r="K9" s="35">
        <f>22.27777/2408.2809</f>
        <v>9.2504865192428332E-3</v>
      </c>
      <c r="L9" s="35" t="s">
        <v>61</v>
      </c>
    </row>
    <row r="10" spans="1:14" ht="25.5" x14ac:dyDescent="0.25">
      <c r="A10" s="156" t="s">
        <v>50</v>
      </c>
      <c r="B10" s="24" t="s">
        <v>166</v>
      </c>
      <c r="C10" s="25"/>
      <c r="D10" s="49">
        <f>13.03562003*K6</f>
        <v>14.254450696855027</v>
      </c>
      <c r="E10" s="28" t="s">
        <v>167</v>
      </c>
      <c r="F10" s="40">
        <v>0</v>
      </c>
      <c r="G10" s="44">
        <v>0</v>
      </c>
      <c r="H10" s="44">
        <f>4753481.16/1000000</f>
        <v>4.7534811599999998</v>
      </c>
      <c r="I10" s="40">
        <v>0</v>
      </c>
      <c r="J10" s="40">
        <v>0</v>
      </c>
    </row>
    <row r="11" spans="1:14" ht="25.5" x14ac:dyDescent="0.25">
      <c r="A11" s="94" t="s">
        <v>12</v>
      </c>
      <c r="B11" s="5"/>
      <c r="C11" s="6" t="s">
        <v>144</v>
      </c>
      <c r="D11" s="41">
        <v>70</v>
      </c>
      <c r="E11" s="5" t="s">
        <v>64</v>
      </c>
      <c r="F11" s="42">
        <v>54.89744468</v>
      </c>
      <c r="G11" s="44">
        <v>0</v>
      </c>
      <c r="H11" s="44">
        <f>488564577.61/1000000</f>
        <v>488.56457761000001</v>
      </c>
      <c r="I11" s="40">
        <v>0</v>
      </c>
      <c r="J11" s="40">
        <v>0</v>
      </c>
    </row>
    <row r="12" spans="1:14" ht="25.5" x14ac:dyDescent="0.25">
      <c r="A12" s="94" t="s">
        <v>7</v>
      </c>
      <c r="B12" s="9" t="s">
        <v>103</v>
      </c>
      <c r="C12" s="122" t="s">
        <v>104</v>
      </c>
      <c r="D12" s="39">
        <f>10.05469595</f>
        <v>10.054695949999999</v>
      </c>
      <c r="E12" s="4" t="s">
        <v>105</v>
      </c>
      <c r="F12" s="43">
        <f>7.56798078*K6</f>
        <v>8.2755870955879995</v>
      </c>
      <c r="G12" s="44">
        <v>0</v>
      </c>
      <c r="H12" s="44">
        <f>64477909.48/1000000</f>
        <v>64.477909479999994</v>
      </c>
      <c r="I12" s="40">
        <v>0</v>
      </c>
      <c r="J12" s="40">
        <v>0</v>
      </c>
    </row>
    <row r="13" spans="1:14" ht="51" x14ac:dyDescent="0.25">
      <c r="A13" s="94" t="s">
        <v>9</v>
      </c>
      <c r="B13" s="122" t="s">
        <v>142</v>
      </c>
      <c r="C13" s="122" t="s">
        <v>143</v>
      </c>
      <c r="D13" s="39">
        <v>60</v>
      </c>
      <c r="E13" s="8" t="s">
        <v>132</v>
      </c>
      <c r="F13" s="40">
        <v>17.04189723</v>
      </c>
      <c r="G13" s="44">
        <v>0</v>
      </c>
      <c r="H13" s="44">
        <f>211672676.9/1000000</f>
        <v>211.6726769</v>
      </c>
      <c r="I13" s="40">
        <v>0</v>
      </c>
      <c r="J13" s="40">
        <v>0</v>
      </c>
    </row>
    <row r="14" spans="1:14" ht="51" x14ac:dyDescent="0.25">
      <c r="A14" s="94" t="s">
        <v>6</v>
      </c>
      <c r="B14" s="122" t="s">
        <v>79</v>
      </c>
      <c r="C14" s="122" t="s">
        <v>282</v>
      </c>
      <c r="D14" s="39">
        <v>60.9161</v>
      </c>
      <c r="E14" s="4" t="s">
        <v>80</v>
      </c>
      <c r="F14" s="40">
        <v>78.341785130000005</v>
      </c>
      <c r="G14" s="44">
        <v>0</v>
      </c>
      <c r="H14" s="44">
        <f>577046325.96/1000000</f>
        <v>577.04632595999999</v>
      </c>
      <c r="I14" s="40">
        <v>0</v>
      </c>
      <c r="J14" s="40">
        <v>0</v>
      </c>
    </row>
    <row r="15" spans="1:14" ht="38.25" x14ac:dyDescent="0.25">
      <c r="A15" s="105" t="s">
        <v>22</v>
      </c>
      <c r="B15" s="122" t="s">
        <v>96</v>
      </c>
      <c r="C15" s="122" t="s">
        <v>97</v>
      </c>
      <c r="D15" s="39">
        <v>85</v>
      </c>
      <c r="E15" s="4" t="s">
        <v>349</v>
      </c>
      <c r="F15" s="40">
        <f>172075.82/1000000+83336609.45/1000000</f>
        <v>83.508685270000001</v>
      </c>
      <c r="G15" s="44">
        <f>1210318134.88/1000000</f>
        <v>1210.3181348800001</v>
      </c>
      <c r="H15" s="53">
        <v>0</v>
      </c>
      <c r="I15" s="40">
        <f>17000/1000000</f>
        <v>1.7000000000000001E-2</v>
      </c>
      <c r="J15" s="40">
        <f>10000/1000000+10000/1000000+3500/1000000</f>
        <v>2.35E-2</v>
      </c>
      <c r="N15" s="35">
        <v>7</v>
      </c>
    </row>
    <row r="16" spans="1:14" ht="51" hidden="1" x14ac:dyDescent="0.25">
      <c r="A16" s="95" t="s">
        <v>341</v>
      </c>
      <c r="B16" s="152" t="s">
        <v>339</v>
      </c>
      <c r="C16" s="152" t="s">
        <v>340</v>
      </c>
      <c r="D16" s="145">
        <v>65.400000000000006</v>
      </c>
      <c r="E16" s="4" t="s">
        <v>98</v>
      </c>
      <c r="F16" s="40">
        <v>0</v>
      </c>
      <c r="G16" s="44">
        <v>0</v>
      </c>
      <c r="H16" s="44">
        <v>0</v>
      </c>
      <c r="I16" s="40">
        <v>0</v>
      </c>
      <c r="J16" s="40">
        <v>0</v>
      </c>
    </row>
    <row r="17" spans="1:10" ht="36.75" hidden="1" customHeight="1" x14ac:dyDescent="0.25">
      <c r="A17" s="95" t="s">
        <v>347</v>
      </c>
      <c r="B17" s="152"/>
      <c r="C17" s="152" t="s">
        <v>348</v>
      </c>
      <c r="D17" s="145">
        <f>31.4475829/K8</f>
        <v>1.3058104185437835</v>
      </c>
      <c r="E17" s="4" t="s">
        <v>349</v>
      </c>
      <c r="F17" s="40">
        <v>0</v>
      </c>
      <c r="G17" s="44">
        <v>0</v>
      </c>
      <c r="H17" s="44">
        <v>0</v>
      </c>
      <c r="I17" s="40">
        <v>0</v>
      </c>
      <c r="J17" s="40">
        <v>0</v>
      </c>
    </row>
    <row r="18" spans="1:10" ht="28.5" x14ac:dyDescent="0.25">
      <c r="A18" s="95" t="s">
        <v>342</v>
      </c>
      <c r="B18" s="152"/>
      <c r="C18" s="152" t="s">
        <v>343</v>
      </c>
      <c r="D18" s="145">
        <f>101.905584*K7</f>
        <v>0</v>
      </c>
      <c r="E18" s="29" t="s">
        <v>345</v>
      </c>
      <c r="F18" s="40">
        <f>133.12980464*K6</f>
        <v>145.57744335562853</v>
      </c>
      <c r="G18" s="44">
        <v>0</v>
      </c>
      <c r="H18" s="44">
        <f>749334187/1000000</f>
        <v>749.33418700000004</v>
      </c>
      <c r="I18" s="40">
        <v>0</v>
      </c>
      <c r="J18" s="40">
        <v>0</v>
      </c>
    </row>
    <row r="19" spans="1:10" ht="38.25" x14ac:dyDescent="0.25">
      <c r="A19" s="94" t="s">
        <v>3</v>
      </c>
      <c r="B19" s="151"/>
      <c r="C19" s="152" t="s">
        <v>85</v>
      </c>
      <c r="D19" s="145">
        <f>(212.5/1.95583)*K6</f>
        <v>118.80825693608553</v>
      </c>
      <c r="E19" s="29" t="s">
        <v>86</v>
      </c>
      <c r="F19" s="40">
        <f>170.33755291*K6</f>
        <v>186.26411664275318</v>
      </c>
      <c r="G19" s="44">
        <v>0</v>
      </c>
      <c r="H19" s="44">
        <f>249480699.81/1000000</f>
        <v>249.48069981</v>
      </c>
      <c r="I19" s="40">
        <v>0</v>
      </c>
      <c r="J19" s="40">
        <v>0</v>
      </c>
    </row>
    <row r="20" spans="1:10" ht="59.25" x14ac:dyDescent="0.25">
      <c r="A20" s="96" t="s">
        <v>302</v>
      </c>
      <c r="B20" s="199" t="s">
        <v>106</v>
      </c>
      <c r="C20" s="199" t="s">
        <v>107</v>
      </c>
      <c r="D20" s="201">
        <f>4.00923188*K6</f>
        <v>4.3840951204619749</v>
      </c>
      <c r="E20" s="203" t="s">
        <v>77</v>
      </c>
      <c r="F20" s="213">
        <f>3.06132518*K6</f>
        <v>3.3475591299013061</v>
      </c>
      <c r="G20" s="44">
        <v>0</v>
      </c>
      <c r="H20" s="44">
        <f>34020783.75/1000000</f>
        <v>34.02078375</v>
      </c>
      <c r="I20" s="213">
        <v>0</v>
      </c>
      <c r="J20" s="213">
        <v>0</v>
      </c>
    </row>
    <row r="21" spans="1:10" ht="30" x14ac:dyDescent="0.25">
      <c r="A21" s="97" t="s">
        <v>52</v>
      </c>
      <c r="B21" s="209"/>
      <c r="C21" s="209"/>
      <c r="D21" s="219"/>
      <c r="E21" s="220"/>
      <c r="F21" s="214"/>
      <c r="G21" s="208">
        <v>0</v>
      </c>
      <c r="H21" s="208">
        <f>30344556/1000000</f>
        <v>30.344556000000001</v>
      </c>
      <c r="I21" s="214"/>
      <c r="J21" s="214"/>
    </row>
    <row r="22" spans="1:10" ht="30" x14ac:dyDescent="0.25">
      <c r="A22" s="97" t="s">
        <v>51</v>
      </c>
      <c r="B22" s="209"/>
      <c r="C22" s="209"/>
      <c r="D22" s="219"/>
      <c r="E22" s="220"/>
      <c r="F22" s="214"/>
      <c r="G22" s="208"/>
      <c r="H22" s="208"/>
      <c r="I22" s="214"/>
      <c r="J22" s="214"/>
    </row>
    <row r="23" spans="1:10" ht="30" x14ac:dyDescent="0.25">
      <c r="A23" s="98" t="s">
        <v>53</v>
      </c>
      <c r="B23" s="200"/>
      <c r="C23" s="200"/>
      <c r="D23" s="202"/>
      <c r="E23" s="204"/>
      <c r="F23" s="215"/>
      <c r="G23" s="208"/>
      <c r="H23" s="208"/>
      <c r="I23" s="215"/>
      <c r="J23" s="215"/>
    </row>
    <row r="24" spans="1:10" ht="51" x14ac:dyDescent="0.25">
      <c r="A24" s="99" t="s">
        <v>4</v>
      </c>
      <c r="B24" s="9" t="s">
        <v>109</v>
      </c>
      <c r="C24" s="9" t="s">
        <v>120</v>
      </c>
      <c r="D24" s="39">
        <v>3.9723667900000001</v>
      </c>
      <c r="E24" s="8" t="s">
        <v>108</v>
      </c>
      <c r="F24" s="40">
        <f>(666790.04+5155314.26)/1000000</f>
        <v>5.8221042999999995</v>
      </c>
      <c r="G24" s="44">
        <f>58759840.44/1000000</f>
        <v>58.759840439999998</v>
      </c>
      <c r="H24" s="39">
        <f>105121056.19/1000000</f>
        <v>105.12105619</v>
      </c>
      <c r="I24" s="40">
        <v>0</v>
      </c>
      <c r="J24" s="40">
        <v>0</v>
      </c>
    </row>
    <row r="25" spans="1:10" ht="104.25" x14ac:dyDescent="0.25">
      <c r="A25" s="96" t="s">
        <v>283</v>
      </c>
      <c r="B25" s="2"/>
      <c r="C25" s="122" t="s">
        <v>168</v>
      </c>
      <c r="D25" s="39">
        <f>8.264188/K8</f>
        <v>0.34315714582962481</v>
      </c>
      <c r="E25" s="19" t="s">
        <v>170</v>
      </c>
      <c r="F25" s="40">
        <f>8.05722071/K8</f>
        <v>0.33456316121595281</v>
      </c>
      <c r="G25" s="47">
        <v>0</v>
      </c>
      <c r="H25" s="48">
        <f>11329562.38/1000000</f>
        <v>11.32956238</v>
      </c>
      <c r="I25" s="40">
        <v>0</v>
      </c>
      <c r="J25" s="40">
        <v>0</v>
      </c>
    </row>
    <row r="26" spans="1:10" ht="38.25" x14ac:dyDescent="0.25">
      <c r="A26" s="100" t="s">
        <v>10</v>
      </c>
      <c r="B26" s="9" t="s">
        <v>111</v>
      </c>
      <c r="C26" s="9" t="s">
        <v>169</v>
      </c>
      <c r="D26" s="39">
        <f>(11.65592102+9.7393434)*K6</f>
        <v>23.395721961762835</v>
      </c>
      <c r="E26" s="4" t="s">
        <v>112</v>
      </c>
      <c r="F26" s="40">
        <f>0.83953336*K6+15.20928932*K6</f>
        <v>17.549387839484975</v>
      </c>
      <c r="G26" s="44">
        <f>481.78565138</f>
        <v>481.78565137999999</v>
      </c>
      <c r="H26" s="44">
        <f>48924204.39/1000000</f>
        <v>48.92420439</v>
      </c>
      <c r="I26" s="40">
        <v>0</v>
      </c>
      <c r="J26" s="40">
        <v>0</v>
      </c>
    </row>
    <row r="27" spans="1:10" ht="51" x14ac:dyDescent="0.25">
      <c r="A27" s="194" t="s">
        <v>5</v>
      </c>
      <c r="B27" s="122" t="s">
        <v>109</v>
      </c>
      <c r="C27" s="122" t="s">
        <v>114</v>
      </c>
      <c r="D27" s="39">
        <v>6.0270000000000001</v>
      </c>
      <c r="E27" s="3"/>
      <c r="F27" s="40">
        <f>0.98485677+6.79191348</f>
        <v>7.7767702500000002</v>
      </c>
      <c r="G27" s="44">
        <v>0</v>
      </c>
      <c r="H27" s="66">
        <f>(357947.15+880341.73)/1000000</f>
        <v>1.2382888799999998</v>
      </c>
      <c r="I27" s="40">
        <v>0</v>
      </c>
      <c r="J27" s="40">
        <v>0</v>
      </c>
    </row>
    <row r="28" spans="1:10" ht="25.5" x14ac:dyDescent="0.25">
      <c r="A28" s="195"/>
      <c r="B28" s="122" t="s">
        <v>116</v>
      </c>
      <c r="C28" s="122" t="s">
        <v>117</v>
      </c>
      <c r="D28" s="39">
        <v>0.60699999999999998</v>
      </c>
      <c r="E28" s="3"/>
      <c r="F28" s="40">
        <v>0</v>
      </c>
      <c r="G28" s="44">
        <v>0</v>
      </c>
      <c r="H28" s="127"/>
      <c r="I28" s="40">
        <v>0</v>
      </c>
      <c r="J28" s="40">
        <v>0</v>
      </c>
    </row>
    <row r="29" spans="1:10" ht="25.5" x14ac:dyDescent="0.25">
      <c r="A29" s="196"/>
      <c r="B29" s="122" t="s">
        <v>115</v>
      </c>
      <c r="C29" s="2"/>
      <c r="D29" s="39">
        <v>1.0069999999999999</v>
      </c>
      <c r="E29" s="3"/>
      <c r="F29" s="40">
        <v>1.0068979199999999</v>
      </c>
      <c r="G29" s="44">
        <v>0</v>
      </c>
      <c r="H29" s="127">
        <v>0</v>
      </c>
      <c r="I29" s="40">
        <v>0</v>
      </c>
      <c r="J29" s="40">
        <v>0</v>
      </c>
    </row>
    <row r="30" spans="1:10" ht="72" customHeight="1" x14ac:dyDescent="0.25">
      <c r="A30" s="100" t="s">
        <v>329</v>
      </c>
      <c r="B30" s="122" t="s">
        <v>129</v>
      </c>
      <c r="C30" s="122" t="s">
        <v>306</v>
      </c>
      <c r="D30" s="39">
        <f>39.23986236*K6</f>
        <v>42.90879007478997</v>
      </c>
      <c r="E30" s="4" t="s">
        <v>130</v>
      </c>
      <c r="F30" s="40">
        <f>29.43848711*K6</f>
        <v>32.190986093010359</v>
      </c>
      <c r="G30" s="44">
        <v>0</v>
      </c>
      <c r="H30" s="44">
        <f>337819841.94/1000000</f>
        <v>337.81984194</v>
      </c>
      <c r="I30" s="40">
        <v>0</v>
      </c>
      <c r="J30" s="40">
        <v>0</v>
      </c>
    </row>
    <row r="31" spans="1:10" ht="51" x14ac:dyDescent="0.25">
      <c r="A31" s="105" t="s">
        <v>19</v>
      </c>
      <c r="B31" s="2"/>
      <c r="C31" s="122" t="s">
        <v>308</v>
      </c>
      <c r="D31" s="39"/>
      <c r="E31" s="19" t="s">
        <v>108</v>
      </c>
      <c r="F31" s="40">
        <f>77.60729091/K8</f>
        <v>3.2225182249296584</v>
      </c>
      <c r="G31" s="44">
        <v>0</v>
      </c>
      <c r="H31" s="44">
        <f>63088365.31/1000000</f>
        <v>63.08836531</v>
      </c>
      <c r="I31" s="40">
        <v>0</v>
      </c>
      <c r="J31" s="40">
        <v>0</v>
      </c>
    </row>
    <row r="32" spans="1:10" x14ac:dyDescent="0.25">
      <c r="A32" s="100" t="s">
        <v>23</v>
      </c>
      <c r="B32" s="46"/>
      <c r="C32" s="133" t="s">
        <v>171</v>
      </c>
      <c r="D32" s="39">
        <f>372313538/1000000</f>
        <v>372.31353799999999</v>
      </c>
      <c r="E32" s="45"/>
      <c r="F32" s="40">
        <f>61780890.53/1000000</f>
        <v>61.780890530000001</v>
      </c>
      <c r="G32" s="44">
        <f>838528538.77/1000000</f>
        <v>838.52853876999995</v>
      </c>
      <c r="H32" s="39">
        <v>0</v>
      </c>
      <c r="I32" s="40">
        <v>0</v>
      </c>
      <c r="J32" s="40">
        <v>0</v>
      </c>
    </row>
    <row r="33" spans="1:11" ht="30" hidden="1" x14ac:dyDescent="0.25">
      <c r="A33" s="100" t="s">
        <v>356</v>
      </c>
      <c r="B33" s="46"/>
      <c r="C33" s="134" t="s">
        <v>357</v>
      </c>
      <c r="D33" s="39">
        <f>292433560/1000000</f>
        <v>292.43356</v>
      </c>
      <c r="E33" s="4" t="s">
        <v>70</v>
      </c>
      <c r="F33" s="40">
        <v>0</v>
      </c>
      <c r="G33" s="44">
        <v>0</v>
      </c>
      <c r="H33" s="39">
        <v>0</v>
      </c>
      <c r="I33" s="40">
        <v>0</v>
      </c>
      <c r="J33" s="40">
        <v>0</v>
      </c>
    </row>
    <row r="34" spans="1:11" ht="28.5" x14ac:dyDescent="0.25">
      <c r="A34" s="105" t="s">
        <v>45</v>
      </c>
      <c r="B34" s="122" t="s">
        <v>69</v>
      </c>
      <c r="C34" s="122" t="s">
        <v>90</v>
      </c>
      <c r="D34" s="39">
        <v>107.8</v>
      </c>
      <c r="E34" s="4" t="s">
        <v>307</v>
      </c>
      <c r="F34" s="40">
        <f>13.4429922+3.36074805+3.36074805+3.36074805+3.36074805+3.36074805+3.36074805+3.36074805+3.36074805+3.36074805+3.36074805+3.36074805</f>
        <v>50.411220749999998</v>
      </c>
      <c r="G34" s="44">
        <v>0</v>
      </c>
      <c r="H34" s="39">
        <v>0</v>
      </c>
      <c r="I34" s="40">
        <v>0</v>
      </c>
      <c r="J34" s="40">
        <v>0</v>
      </c>
    </row>
    <row r="35" spans="1:11" ht="28.5" x14ac:dyDescent="0.25">
      <c r="A35" s="100" t="s">
        <v>330</v>
      </c>
      <c r="B35" s="5" t="s">
        <v>78</v>
      </c>
      <c r="C35" s="5" t="s">
        <v>89</v>
      </c>
      <c r="D35" s="39">
        <f>4.09479198*K6</f>
        <v>4.4776550910856354</v>
      </c>
      <c r="E35" s="8" t="s">
        <v>77</v>
      </c>
      <c r="F35" s="40">
        <f>3.99062006*K6</f>
        <v>4.3637430950149172</v>
      </c>
      <c r="G35" s="44">
        <v>0</v>
      </c>
      <c r="H35" s="44">
        <f>9021661.38/1000000</f>
        <v>9.0216613800000012</v>
      </c>
      <c r="I35" s="40">
        <v>0</v>
      </c>
      <c r="J35" s="40">
        <v>0</v>
      </c>
    </row>
    <row r="36" spans="1:11" ht="54" customHeight="1" x14ac:dyDescent="0.25">
      <c r="A36" s="96" t="s">
        <v>361</v>
      </c>
      <c r="B36" s="224" t="s">
        <v>360</v>
      </c>
      <c r="C36" s="225"/>
      <c r="D36" s="44">
        <f>4.04310139*K6</f>
        <v>4.4211314301511617</v>
      </c>
      <c r="E36" s="8" t="s">
        <v>77</v>
      </c>
      <c r="F36" s="148">
        <f>3.64389715*K6</f>
        <v>3.9846015877685526</v>
      </c>
      <c r="G36" s="48">
        <v>0</v>
      </c>
      <c r="H36" s="48">
        <f>38176712.89/1000000</f>
        <v>38.176712889999997</v>
      </c>
      <c r="I36" s="147">
        <v>0</v>
      </c>
      <c r="J36" s="147">
        <v>0</v>
      </c>
    </row>
    <row r="37" spans="1:11" x14ac:dyDescent="0.25">
      <c r="A37" s="95" t="s">
        <v>206</v>
      </c>
      <c r="B37" s="122"/>
      <c r="C37" s="122" t="s">
        <v>207</v>
      </c>
      <c r="D37" s="44"/>
      <c r="E37" s="8"/>
      <c r="F37" s="148">
        <v>0</v>
      </c>
      <c r="G37" s="49">
        <v>0</v>
      </c>
      <c r="H37" s="49">
        <v>0</v>
      </c>
      <c r="I37" s="147">
        <f>354.97711353+383.96246049</f>
        <v>738.93957402000001</v>
      </c>
      <c r="J37" s="147">
        <f>363261533.01/1000000+340456599.85/1000000</f>
        <v>703.71813285999997</v>
      </c>
      <c r="K37" s="160"/>
    </row>
    <row r="38" spans="1:11" ht="28.5" x14ac:dyDescent="0.25">
      <c r="A38" s="105" t="s">
        <v>20</v>
      </c>
      <c r="B38" s="122" t="s">
        <v>338</v>
      </c>
      <c r="C38" s="122" t="s">
        <v>337</v>
      </c>
      <c r="D38" s="39"/>
      <c r="E38" s="2"/>
      <c r="F38" s="40">
        <v>0</v>
      </c>
      <c r="G38" s="44">
        <v>0</v>
      </c>
      <c r="H38" s="39">
        <v>0</v>
      </c>
      <c r="I38" s="40">
        <f>17.65075+17.65075+17.65075+17.65075</f>
        <v>70.602999999999994</v>
      </c>
      <c r="J38" s="40">
        <f>5000000/1000000+17650750/1000000+12650750/1000000+17650750/1000000</f>
        <v>52.952249999999992</v>
      </c>
      <c r="K38" s="160"/>
    </row>
    <row r="39" spans="1:11" ht="38.25" x14ac:dyDescent="0.25">
      <c r="A39" s="100" t="s">
        <v>49</v>
      </c>
      <c r="B39" s="122" t="s">
        <v>173</v>
      </c>
      <c r="C39" s="122" t="s">
        <v>309</v>
      </c>
      <c r="D39" s="39">
        <f>5.7420837*K6</f>
        <v>6.2789686114274454</v>
      </c>
      <c r="E39" s="4" t="s">
        <v>172</v>
      </c>
      <c r="F39" s="40">
        <f>6.94654091*K6</f>
        <v>7.5960425884921614</v>
      </c>
      <c r="G39" s="44">
        <v>0</v>
      </c>
      <c r="H39" s="44">
        <f>105184060.66/1000000</f>
        <v>105.18406066</v>
      </c>
      <c r="I39" s="40">
        <v>0</v>
      </c>
      <c r="J39" s="40">
        <v>0</v>
      </c>
    </row>
    <row r="40" spans="1:11" ht="25.5" x14ac:dyDescent="0.25">
      <c r="A40" s="216" t="s">
        <v>14</v>
      </c>
      <c r="B40" s="5" t="s">
        <v>152</v>
      </c>
      <c r="C40" s="5" t="s">
        <v>153</v>
      </c>
      <c r="D40" s="39">
        <v>82.238587999999993</v>
      </c>
      <c r="E40" s="8" t="s">
        <v>77</v>
      </c>
      <c r="F40" s="40">
        <v>75.716032260000006</v>
      </c>
      <c r="G40" s="44">
        <v>0</v>
      </c>
      <c r="H40" s="197">
        <f>(90886115.89+6415859.85)/1000000</f>
        <v>97.301975739999989</v>
      </c>
      <c r="I40" s="40">
        <v>0</v>
      </c>
      <c r="J40" s="40">
        <v>0</v>
      </c>
    </row>
    <row r="41" spans="1:11" ht="25.5" x14ac:dyDescent="0.25">
      <c r="A41" s="217"/>
      <c r="B41" s="5" t="s">
        <v>152</v>
      </c>
      <c r="C41" s="5" t="s">
        <v>154</v>
      </c>
      <c r="D41" s="39">
        <v>13.4445</v>
      </c>
      <c r="E41" s="8" t="s">
        <v>77</v>
      </c>
      <c r="F41" s="40">
        <v>16.702198289999998</v>
      </c>
      <c r="G41" s="44">
        <v>0</v>
      </c>
      <c r="H41" s="198"/>
      <c r="I41" s="40">
        <v>0</v>
      </c>
      <c r="J41" s="40">
        <v>0</v>
      </c>
    </row>
    <row r="42" spans="1:11" ht="38.25" x14ac:dyDescent="0.25">
      <c r="A42" s="217"/>
      <c r="B42" s="11" t="s">
        <v>151</v>
      </c>
      <c r="C42" s="12" t="s">
        <v>325</v>
      </c>
      <c r="D42" s="39">
        <f>27.64938569*K6</f>
        <v>30.234603663607547</v>
      </c>
      <c r="E42" s="8" t="s">
        <v>77</v>
      </c>
      <c r="F42" s="40">
        <f>35.30425976*K6</f>
        <v>38.605208573104051</v>
      </c>
      <c r="G42" s="44">
        <v>0</v>
      </c>
      <c r="H42" s="197">
        <f>102899937.6/1000000</f>
        <v>102.89993759999999</v>
      </c>
      <c r="I42" s="40">
        <v>0</v>
      </c>
      <c r="J42" s="40">
        <v>0</v>
      </c>
    </row>
    <row r="43" spans="1:11" ht="76.5" x14ac:dyDescent="0.25">
      <c r="A43" s="217"/>
      <c r="B43" s="11" t="s">
        <v>155</v>
      </c>
      <c r="C43" s="12" t="s">
        <v>324</v>
      </c>
      <c r="D43" s="39">
        <f>(259.13228873/1.95583)*K6</f>
        <v>144.88026136409289</v>
      </c>
      <c r="E43" s="8" t="s">
        <v>77</v>
      </c>
      <c r="F43" s="40">
        <f>194.11881183*K6</f>
        <v>212.26892362578425</v>
      </c>
      <c r="G43" s="44">
        <v>0</v>
      </c>
      <c r="H43" s="198"/>
      <c r="I43" s="40">
        <v>0</v>
      </c>
      <c r="J43" s="40">
        <v>0</v>
      </c>
    </row>
    <row r="44" spans="1:11" ht="25.5" x14ac:dyDescent="0.25">
      <c r="A44" s="218"/>
      <c r="B44" s="11" t="s">
        <v>326</v>
      </c>
      <c r="C44" s="12"/>
      <c r="D44" s="39">
        <v>3</v>
      </c>
      <c r="E44" s="8" t="s">
        <v>149</v>
      </c>
      <c r="F44" s="40">
        <v>2.5499999999999998</v>
      </c>
      <c r="G44" s="44">
        <v>0</v>
      </c>
      <c r="H44" s="44">
        <v>0</v>
      </c>
      <c r="I44" s="40">
        <v>0</v>
      </c>
      <c r="J44" s="40">
        <v>0</v>
      </c>
    </row>
    <row r="45" spans="1:11" ht="25.5" x14ac:dyDescent="0.25">
      <c r="A45" s="94" t="s">
        <v>11</v>
      </c>
      <c r="B45" s="9" t="s">
        <v>127</v>
      </c>
      <c r="C45" s="122" t="s">
        <v>128</v>
      </c>
      <c r="D45" s="39">
        <f>171.476378+28.103729</f>
        <v>199.580107</v>
      </c>
      <c r="E45" s="8" t="s">
        <v>77</v>
      </c>
      <c r="F45" s="40">
        <v>152.33522120999999</v>
      </c>
      <c r="G45" s="44">
        <v>0</v>
      </c>
      <c r="H45" s="44">
        <f>1153205511.23/1000000</f>
        <v>1153.20551123</v>
      </c>
      <c r="I45" s="40">
        <v>0</v>
      </c>
      <c r="J45" s="40">
        <v>0</v>
      </c>
    </row>
    <row r="46" spans="1:11" ht="38.25" x14ac:dyDescent="0.25">
      <c r="A46" s="94" t="s">
        <v>351</v>
      </c>
      <c r="B46" s="122" t="s">
        <v>352</v>
      </c>
      <c r="C46" s="122" t="s">
        <v>353</v>
      </c>
      <c r="D46" s="39">
        <f>39.4968802+19.99940604</f>
        <v>59.496286240000003</v>
      </c>
      <c r="E46" s="8" t="s">
        <v>108</v>
      </c>
      <c r="F46" s="40">
        <f>26429486.85/1000000</f>
        <v>26.42948685</v>
      </c>
      <c r="G46" s="44">
        <v>0</v>
      </c>
      <c r="H46" s="44">
        <f>278495295.4/1000000</f>
        <v>278.49529539999997</v>
      </c>
      <c r="I46" s="40">
        <v>0</v>
      </c>
      <c r="J46" s="40">
        <v>0</v>
      </c>
    </row>
    <row r="47" spans="1:11" ht="42.75" x14ac:dyDescent="0.25">
      <c r="A47" s="100" t="s">
        <v>354</v>
      </c>
      <c r="B47" s="2"/>
      <c r="C47" s="122" t="s">
        <v>355</v>
      </c>
      <c r="D47" s="39"/>
      <c r="E47" s="8" t="s">
        <v>108</v>
      </c>
      <c r="F47" s="40">
        <f>71487264.42/1000000</f>
        <v>71.487264420000002</v>
      </c>
      <c r="G47" s="44">
        <v>0</v>
      </c>
      <c r="H47" s="44">
        <f>290125389.39/1000000</f>
        <v>290.12538939000001</v>
      </c>
      <c r="I47" s="40">
        <v>0</v>
      </c>
      <c r="J47" s="40">
        <v>0</v>
      </c>
    </row>
    <row r="48" spans="1:11" ht="25.5" x14ac:dyDescent="0.25">
      <c r="A48" s="94" t="s">
        <v>317</v>
      </c>
      <c r="B48" s="11" t="s">
        <v>318</v>
      </c>
      <c r="C48" s="5"/>
      <c r="D48" s="119">
        <v>16.944942600000001</v>
      </c>
      <c r="E48" s="5" t="s">
        <v>149</v>
      </c>
      <c r="F48" s="64">
        <v>16.882516720000002</v>
      </c>
      <c r="G48" s="44">
        <v>0</v>
      </c>
      <c r="H48" s="44">
        <v>0</v>
      </c>
      <c r="I48" s="40">
        <v>0</v>
      </c>
      <c r="J48" s="40">
        <v>0</v>
      </c>
    </row>
    <row r="49" spans="1:11" ht="28.5" x14ac:dyDescent="0.25">
      <c r="A49" s="95" t="s">
        <v>95</v>
      </c>
      <c r="B49" s="122" t="s">
        <v>93</v>
      </c>
      <c r="C49" s="122" t="s">
        <v>94</v>
      </c>
      <c r="D49" s="39">
        <f>2.77353707*K6</f>
        <v>3.0328628273322535</v>
      </c>
      <c r="E49" s="8" t="s">
        <v>77</v>
      </c>
      <c r="F49" s="148">
        <f>2.28872099*K6</f>
        <v>2.5027164366352141</v>
      </c>
      <c r="G49" s="52">
        <v>0</v>
      </c>
      <c r="H49" s="44">
        <f>7018311.34/1000000</f>
        <v>7.0183113399999995</v>
      </c>
      <c r="I49" s="40">
        <v>0</v>
      </c>
      <c r="J49" s="40">
        <v>0</v>
      </c>
    </row>
    <row r="50" spans="1:11" ht="25.5" x14ac:dyDescent="0.25">
      <c r="A50" s="100" t="s">
        <v>8</v>
      </c>
      <c r="B50" s="5" t="s">
        <v>159</v>
      </c>
      <c r="C50" s="6" t="s">
        <v>160</v>
      </c>
      <c r="D50" s="44">
        <f>(530.895519+609.517811)*K9</f>
        <v>10.54937813552983</v>
      </c>
      <c r="E50" s="8" t="s">
        <v>161</v>
      </c>
      <c r="F50" s="40">
        <f>0*K9</f>
        <v>0</v>
      </c>
      <c r="G50" s="45">
        <v>0</v>
      </c>
      <c r="H50" s="44">
        <f>(7496393.98+90812.47)/1000000</f>
        <v>7.58720645</v>
      </c>
      <c r="I50" s="40">
        <v>0</v>
      </c>
      <c r="J50" s="40">
        <v>0</v>
      </c>
    </row>
    <row r="51" spans="1:11" ht="28.5" x14ac:dyDescent="0.25">
      <c r="A51" s="105" t="s">
        <v>18</v>
      </c>
      <c r="B51" s="9" t="s">
        <v>121</v>
      </c>
      <c r="C51" s="2"/>
      <c r="D51" s="39"/>
      <c r="E51" s="2"/>
      <c r="F51" s="40">
        <f>0.14794233/K8</f>
        <v>6.143067862224876E-3</v>
      </c>
      <c r="G51" s="44">
        <v>0</v>
      </c>
      <c r="H51" s="44">
        <f>356170.23/1000000</f>
        <v>0.35617022999999998</v>
      </c>
      <c r="I51" s="40">
        <f>18139.06/1000000</f>
        <v>1.8139060000000002E-2</v>
      </c>
      <c r="J51" s="40">
        <v>0</v>
      </c>
    </row>
    <row r="52" spans="1:11" ht="75" x14ac:dyDescent="0.25">
      <c r="A52" s="100" t="s">
        <v>344</v>
      </c>
      <c r="B52" s="199" t="s">
        <v>81</v>
      </c>
      <c r="C52" s="199" t="s">
        <v>82</v>
      </c>
      <c r="D52" s="201">
        <f>1.2782297*K6</f>
        <v>1.3977441959779027</v>
      </c>
      <c r="E52" s="203" t="s">
        <v>83</v>
      </c>
      <c r="F52" s="213">
        <f>1.35346146*K6</f>
        <v>1.4800101266578127</v>
      </c>
      <c r="G52" s="44">
        <v>0</v>
      </c>
      <c r="H52" s="44">
        <f>22431935.78/1000000</f>
        <v>22.43193578</v>
      </c>
      <c r="I52" s="51">
        <f>11159.36/1000000+7330.73/1000000+20011.82/1000000+32668.63/1000000</f>
        <v>7.1170540000000004E-2</v>
      </c>
      <c r="J52" s="51">
        <f>3273.03/1000000+45.55/1000000+4661.35/1000000</f>
        <v>7.9799300000000014E-3</v>
      </c>
      <c r="K52" s="160"/>
    </row>
    <row r="53" spans="1:11" ht="74.25" x14ac:dyDescent="0.25">
      <c r="A53" s="111" t="s">
        <v>310</v>
      </c>
      <c r="B53" s="200"/>
      <c r="C53" s="200"/>
      <c r="D53" s="202"/>
      <c r="E53" s="204"/>
      <c r="F53" s="215"/>
      <c r="G53" s="52">
        <v>0</v>
      </c>
      <c r="H53" s="52">
        <f>17306991.63/1000000</f>
        <v>17.306991629999999</v>
      </c>
      <c r="I53" s="150">
        <v>0</v>
      </c>
      <c r="J53" s="150">
        <v>0</v>
      </c>
    </row>
    <row r="54" spans="1:11" ht="25.5" x14ac:dyDescent="0.25">
      <c r="A54" s="94" t="s">
        <v>16</v>
      </c>
      <c r="B54" s="122" t="s">
        <v>67</v>
      </c>
      <c r="C54" s="122" t="s">
        <v>68</v>
      </c>
      <c r="D54" s="44">
        <f>1.18324139*K6</f>
        <v>1.2938744775788937</v>
      </c>
      <c r="E54" s="4" t="s">
        <v>64</v>
      </c>
      <c r="F54" s="40">
        <f>1.04163781*K6</f>
        <v>1.1390309607409634</v>
      </c>
      <c r="G54" s="45">
        <v>0</v>
      </c>
      <c r="H54" s="44">
        <f>6145495.89/1000000</f>
        <v>6.1454958899999994</v>
      </c>
      <c r="I54" s="40">
        <v>0</v>
      </c>
      <c r="J54" s="40">
        <v>0</v>
      </c>
    </row>
    <row r="55" spans="1:11" ht="25.5" x14ac:dyDescent="0.25">
      <c r="A55" s="216" t="s">
        <v>13</v>
      </c>
      <c r="B55" s="10" t="s">
        <v>147</v>
      </c>
      <c r="C55" s="10" t="s">
        <v>148</v>
      </c>
      <c r="D55" s="54">
        <v>66.3</v>
      </c>
      <c r="E55" s="8" t="s">
        <v>77</v>
      </c>
      <c r="F55" s="40">
        <v>51.223896269999997</v>
      </c>
      <c r="G55" s="44">
        <v>0</v>
      </c>
      <c r="H55" s="197">
        <f>510334581.41/1000000</f>
        <v>510.33458141</v>
      </c>
      <c r="I55" s="40">
        <v>0</v>
      </c>
      <c r="J55" s="40">
        <v>0</v>
      </c>
    </row>
    <row r="56" spans="1:11" ht="25.5" x14ac:dyDescent="0.25">
      <c r="A56" s="217"/>
      <c r="B56" s="10" t="s">
        <v>147</v>
      </c>
      <c r="C56" s="10" t="s">
        <v>335</v>
      </c>
      <c r="D56" s="54">
        <v>10.842000000000001</v>
      </c>
      <c r="E56" s="8" t="s">
        <v>77</v>
      </c>
      <c r="F56" s="40">
        <v>3.2164408799999999</v>
      </c>
      <c r="G56" s="44">
        <v>0</v>
      </c>
      <c r="H56" s="198"/>
      <c r="I56" s="40">
        <v>0</v>
      </c>
      <c r="J56" s="40">
        <v>0</v>
      </c>
    </row>
    <row r="57" spans="1:11" ht="25.5" x14ac:dyDescent="0.25">
      <c r="A57" s="217"/>
      <c r="B57" s="10" t="s">
        <v>326</v>
      </c>
      <c r="C57" s="10"/>
      <c r="D57" s="54">
        <v>3</v>
      </c>
      <c r="E57" s="8" t="s">
        <v>149</v>
      </c>
      <c r="F57" s="40">
        <v>1.5639717900000001</v>
      </c>
      <c r="G57" s="44">
        <v>0</v>
      </c>
      <c r="H57" s="44">
        <v>0</v>
      </c>
      <c r="I57" s="40">
        <v>0</v>
      </c>
      <c r="J57" s="40">
        <v>0</v>
      </c>
    </row>
    <row r="58" spans="1:11" ht="38.25" x14ac:dyDescent="0.25">
      <c r="A58" s="218"/>
      <c r="B58" s="2"/>
      <c r="C58" s="122" t="s">
        <v>150</v>
      </c>
      <c r="D58" s="54">
        <f>99172.94/1000000</f>
        <v>9.9172940000000001E-2</v>
      </c>
      <c r="E58" s="8" t="s">
        <v>77</v>
      </c>
      <c r="F58" s="40">
        <f>4061.92/1000000+99172.94/1000000</f>
        <v>0.10323486</v>
      </c>
      <c r="G58" s="44">
        <f>3495952.06/1000000</f>
        <v>3.49595206</v>
      </c>
      <c r="H58" s="44">
        <v>0</v>
      </c>
      <c r="I58" s="40">
        <v>0</v>
      </c>
      <c r="J58" s="40">
        <v>0</v>
      </c>
    </row>
    <row r="59" spans="1:11" ht="28.5" x14ac:dyDescent="0.25">
      <c r="A59" s="103" t="s">
        <v>284</v>
      </c>
      <c r="B59" s="13"/>
      <c r="C59" s="122" t="s">
        <v>175</v>
      </c>
      <c r="D59" s="54">
        <v>0.108</v>
      </c>
      <c r="E59" s="8" t="s">
        <v>77</v>
      </c>
      <c r="F59" s="40">
        <f>1110.12/1000000+38488.55/1000000</f>
        <v>3.9598670000000002E-2</v>
      </c>
      <c r="G59" s="44">
        <f>1252094.74/1000000</f>
        <v>1.25209474</v>
      </c>
      <c r="H59" s="44">
        <v>0</v>
      </c>
      <c r="I59" s="40">
        <v>0</v>
      </c>
      <c r="J59" s="40">
        <v>0</v>
      </c>
    </row>
    <row r="60" spans="1:11" ht="28.5" x14ac:dyDescent="0.25">
      <c r="A60" s="103" t="s">
        <v>174</v>
      </c>
      <c r="B60" s="13"/>
      <c r="C60" s="122" t="s">
        <v>176</v>
      </c>
      <c r="D60" s="54">
        <v>8.5999999999999993E-2</v>
      </c>
      <c r="E60" s="8" t="s">
        <v>77</v>
      </c>
      <c r="F60" s="40">
        <f>2451.37/1000000+85712.19/1000000</f>
        <v>8.8163560000000002E-2</v>
      </c>
      <c r="G60" s="44">
        <f>3007891.07/1000000</f>
        <v>3.0078910699999999</v>
      </c>
      <c r="H60" s="44">
        <v>0</v>
      </c>
      <c r="I60" s="40">
        <v>0</v>
      </c>
      <c r="J60" s="40">
        <v>0</v>
      </c>
    </row>
    <row r="61" spans="1:11" ht="28.5" x14ac:dyDescent="0.25">
      <c r="A61" s="103" t="s">
        <v>285</v>
      </c>
      <c r="B61" s="13"/>
      <c r="C61" s="122" t="s">
        <v>181</v>
      </c>
      <c r="D61" s="54">
        <v>0.20300000000000001</v>
      </c>
      <c r="E61" s="8" t="s">
        <v>77</v>
      </c>
      <c r="F61" s="40">
        <f>93860.11/1000000</f>
        <v>9.3860109999999997E-2</v>
      </c>
      <c r="G61" s="44">
        <f>2745098.25/1000000</f>
        <v>2.7450982499999999</v>
      </c>
      <c r="H61" s="44">
        <v>0</v>
      </c>
      <c r="I61" s="40">
        <v>0</v>
      </c>
      <c r="J61" s="40">
        <v>0</v>
      </c>
    </row>
    <row r="62" spans="1:11" ht="28.5" x14ac:dyDescent="0.25">
      <c r="A62" s="103" t="s">
        <v>286</v>
      </c>
      <c r="B62" s="13"/>
      <c r="C62" s="122" t="s">
        <v>182</v>
      </c>
      <c r="D62" s="54">
        <v>1.0449999999999999</v>
      </c>
      <c r="E62" s="8" t="s">
        <v>77</v>
      </c>
      <c r="F62" s="40">
        <f>31654.15/1000000+1045116.74/1000000</f>
        <v>1.0767708900000001</v>
      </c>
      <c r="G62" s="44">
        <f>36774781.33/1000000</f>
        <v>36.774781329999996</v>
      </c>
      <c r="H62" s="44">
        <v>0</v>
      </c>
      <c r="I62" s="40">
        <v>0</v>
      </c>
      <c r="J62" s="40">
        <v>0</v>
      </c>
    </row>
    <row r="63" spans="1:11" ht="28.5" x14ac:dyDescent="0.25">
      <c r="A63" s="103" t="s">
        <v>287</v>
      </c>
      <c r="B63" s="13"/>
      <c r="C63" s="122" t="s">
        <v>183</v>
      </c>
      <c r="D63" s="54">
        <v>4.7E-2</v>
      </c>
      <c r="E63" s="8" t="s">
        <v>77</v>
      </c>
      <c r="F63" s="40">
        <f>-366.71/1000000+9267.46/1000000</f>
        <v>8.9007500000000007E-3</v>
      </c>
      <c r="G63" s="44">
        <f>907380.44/1000000</f>
        <v>0.90738043999999995</v>
      </c>
      <c r="H63" s="44">
        <v>0</v>
      </c>
      <c r="I63" s="40">
        <v>0</v>
      </c>
      <c r="J63" s="40">
        <v>0</v>
      </c>
    </row>
    <row r="64" spans="1:11" ht="28.5" x14ac:dyDescent="0.25">
      <c r="A64" s="103" t="s">
        <v>288</v>
      </c>
      <c r="B64" s="13"/>
      <c r="C64" s="122" t="s">
        <v>184</v>
      </c>
      <c r="D64" s="54">
        <v>0.17</v>
      </c>
      <c r="E64" s="8" t="s">
        <v>77</v>
      </c>
      <c r="F64" s="40">
        <f>3294.1/1000000+169537.28/1000000</f>
        <v>0.17283138000000001</v>
      </c>
      <c r="G64" s="44">
        <f>5969244.76/1000000</f>
        <v>5.9692447599999996</v>
      </c>
      <c r="H64" s="44">
        <v>0</v>
      </c>
      <c r="I64" s="40">
        <v>0</v>
      </c>
      <c r="J64" s="40">
        <v>0</v>
      </c>
    </row>
    <row r="65" spans="1:10" ht="28.5" x14ac:dyDescent="0.25">
      <c r="A65" s="104" t="s">
        <v>290</v>
      </c>
      <c r="B65" s="13"/>
      <c r="C65" s="122" t="s">
        <v>179</v>
      </c>
      <c r="D65" s="54">
        <v>0.20699999999999999</v>
      </c>
      <c r="E65" s="8" t="s">
        <v>77</v>
      </c>
      <c r="F65" s="40">
        <f>7726.59/1000000+206787/1000000</f>
        <v>0.21451359</v>
      </c>
      <c r="G65" s="44">
        <f>7304482.72/1000000</f>
        <v>7.3044827199999993</v>
      </c>
      <c r="H65" s="44">
        <v>0</v>
      </c>
      <c r="I65" s="40">
        <v>0</v>
      </c>
      <c r="J65" s="40">
        <v>0</v>
      </c>
    </row>
    <row r="66" spans="1:10" ht="28.5" x14ac:dyDescent="0.25">
      <c r="A66" s="103" t="s">
        <v>291</v>
      </c>
      <c r="B66" s="13"/>
      <c r="C66" s="122" t="s">
        <v>186</v>
      </c>
      <c r="D66" s="54">
        <v>0.16500000000000001</v>
      </c>
      <c r="E66" s="8" t="s">
        <v>77</v>
      </c>
      <c r="F66" s="40">
        <f>5767.56/1000000+165054.97/1000000</f>
        <v>0.17082253</v>
      </c>
      <c r="G66" s="44">
        <f>5822118.72/1000000</f>
        <v>5.8221187199999997</v>
      </c>
      <c r="H66" s="44">
        <v>0</v>
      </c>
      <c r="I66" s="40">
        <v>0</v>
      </c>
      <c r="J66" s="40">
        <v>0</v>
      </c>
    </row>
    <row r="67" spans="1:10" ht="28.5" x14ac:dyDescent="0.25">
      <c r="A67" s="103" t="s">
        <v>292</v>
      </c>
      <c r="B67" s="13"/>
      <c r="C67" s="122" t="s">
        <v>187</v>
      </c>
      <c r="D67" s="54">
        <v>0.59099999999999997</v>
      </c>
      <c r="E67" s="8" t="s">
        <v>77</v>
      </c>
      <c r="F67" s="40">
        <f>13510.24/1000000+590726.82/1000000</f>
        <v>0.60423705999999999</v>
      </c>
      <c r="G67" s="44">
        <f>20595007.88/1000000</f>
        <v>20.595007880000001</v>
      </c>
      <c r="H67" s="44">
        <v>0</v>
      </c>
      <c r="I67" s="40">
        <v>0</v>
      </c>
      <c r="J67" s="40">
        <v>0</v>
      </c>
    </row>
    <row r="68" spans="1:10" ht="28.5" x14ac:dyDescent="0.25">
      <c r="A68" s="103" t="s">
        <v>293</v>
      </c>
      <c r="B68" s="13"/>
      <c r="C68" s="122" t="s">
        <v>178</v>
      </c>
      <c r="D68" s="54">
        <v>0.111</v>
      </c>
      <c r="E68" s="8" t="s">
        <v>77</v>
      </c>
      <c r="F68" s="40">
        <f>3820.82/1000000+90056/1000000</f>
        <v>9.387682E-2</v>
      </c>
      <c r="G68" s="44">
        <f>3466190.9/1000000</f>
        <v>3.4661909</v>
      </c>
      <c r="H68" s="44">
        <v>0</v>
      </c>
      <c r="I68" s="40">
        <f>594546.04/1000000</f>
        <v>0.59454604</v>
      </c>
      <c r="J68" s="40">
        <v>0</v>
      </c>
    </row>
    <row r="69" spans="1:10" ht="28.5" x14ac:dyDescent="0.25">
      <c r="A69" s="103" t="s">
        <v>295</v>
      </c>
      <c r="B69" s="13"/>
      <c r="C69" s="122" t="s">
        <v>177</v>
      </c>
      <c r="D69" s="54">
        <v>0.53</v>
      </c>
      <c r="E69" s="8" t="s">
        <v>77</v>
      </c>
      <c r="F69" s="40">
        <f>17420.4/1000000+530005.02/1000000</f>
        <v>0.54742542000000005</v>
      </c>
      <c r="G69" s="44">
        <f>18620170.49/1000000</f>
        <v>18.62017049</v>
      </c>
      <c r="H69" s="44">
        <v>0</v>
      </c>
      <c r="I69" s="40">
        <v>0</v>
      </c>
      <c r="J69" s="40">
        <v>0</v>
      </c>
    </row>
    <row r="70" spans="1:10" ht="28.5" x14ac:dyDescent="0.25">
      <c r="A70" s="95" t="s">
        <v>196</v>
      </c>
      <c r="B70" s="2"/>
      <c r="C70" s="122" t="s">
        <v>195</v>
      </c>
      <c r="D70" s="44">
        <f>254088.34/1000000</f>
        <v>0.25408834000000002</v>
      </c>
      <c r="E70" s="8" t="s">
        <v>77</v>
      </c>
      <c r="F70" s="155">
        <f>51910.68/1000000</f>
        <v>5.1910680000000001E-2</v>
      </c>
      <c r="G70" s="52">
        <f>204474.5/1000000</f>
        <v>0.2044745</v>
      </c>
      <c r="H70" s="82">
        <v>0</v>
      </c>
      <c r="I70" s="141">
        <v>0</v>
      </c>
      <c r="J70" s="155">
        <v>0</v>
      </c>
    </row>
    <row r="71" spans="1:10" ht="28.5" x14ac:dyDescent="0.25">
      <c r="A71" s="95" t="s">
        <v>193</v>
      </c>
      <c r="B71" s="2"/>
      <c r="C71" s="122" t="s">
        <v>194</v>
      </c>
      <c r="D71" s="44">
        <f>877965.54/1000000</f>
        <v>0.87796554000000004</v>
      </c>
      <c r="E71" s="8" t="s">
        <v>77</v>
      </c>
      <c r="F71" s="155">
        <f>914667.26/1000000</f>
        <v>0.91466725999999998</v>
      </c>
      <c r="G71" s="44">
        <f>4813125.97/1000000</f>
        <v>4.8131259699999998</v>
      </c>
      <c r="H71" s="82">
        <v>0</v>
      </c>
      <c r="I71" s="141">
        <v>0</v>
      </c>
      <c r="J71" s="155">
        <v>0</v>
      </c>
    </row>
    <row r="72" spans="1:10" ht="28.5" x14ac:dyDescent="0.25">
      <c r="A72" s="103" t="s">
        <v>296</v>
      </c>
      <c r="B72" s="13"/>
      <c r="C72" s="122" t="s">
        <v>188</v>
      </c>
      <c r="D72" s="54">
        <v>0.27500000000000002</v>
      </c>
      <c r="E72" s="8" t="s">
        <v>77</v>
      </c>
      <c r="F72" s="40">
        <f>287598.55/1000000</f>
        <v>0.28759855000000001</v>
      </c>
      <c r="G72" s="44">
        <f>1211906.95/1000000</f>
        <v>1.2119069499999999</v>
      </c>
      <c r="H72" s="44">
        <v>0</v>
      </c>
      <c r="I72" s="142">
        <v>0</v>
      </c>
      <c r="J72" s="40">
        <v>0</v>
      </c>
    </row>
    <row r="73" spans="1:10" s="77" customFormat="1" ht="28.5" x14ac:dyDescent="0.25">
      <c r="A73" s="103" t="s">
        <v>190</v>
      </c>
      <c r="B73" s="13"/>
      <c r="C73" s="122" t="s">
        <v>192</v>
      </c>
      <c r="D73" s="54">
        <f>301054.42/1000000</f>
        <v>0.30105441999999999</v>
      </c>
      <c r="E73" s="8" t="s">
        <v>77</v>
      </c>
      <c r="F73" s="148">
        <f>287454.42/1000000</f>
        <v>0.28745441999999999</v>
      </c>
      <c r="G73" s="44">
        <f>349697.79/1000000</f>
        <v>0.34969778999999995</v>
      </c>
      <c r="H73" s="44">
        <v>0</v>
      </c>
      <c r="I73" s="143">
        <v>0</v>
      </c>
      <c r="J73" s="148">
        <v>0</v>
      </c>
    </row>
    <row r="74" spans="1:10" ht="28.5" x14ac:dyDescent="0.25">
      <c r="A74" s="103" t="s">
        <v>197</v>
      </c>
      <c r="B74" s="13"/>
      <c r="C74" s="122" t="s">
        <v>180</v>
      </c>
      <c r="D74" s="54">
        <f>103746.47/1000000</f>
        <v>0.10374647000000001</v>
      </c>
      <c r="E74" s="8" t="s">
        <v>77</v>
      </c>
      <c r="F74" s="148">
        <f>101112.25/1000000</f>
        <v>0.10111225</v>
      </c>
      <c r="G74" s="44">
        <f>131037.96/1000000</f>
        <v>0.13103796000000001</v>
      </c>
      <c r="H74" s="44">
        <v>0</v>
      </c>
      <c r="I74" s="143">
        <v>0</v>
      </c>
      <c r="J74" s="148">
        <v>0</v>
      </c>
    </row>
    <row r="75" spans="1:10" ht="28.5" x14ac:dyDescent="0.25">
      <c r="A75" s="103" t="s">
        <v>198</v>
      </c>
      <c r="B75" s="13"/>
      <c r="C75" s="122" t="s">
        <v>191</v>
      </c>
      <c r="D75" s="54">
        <f>758195.88/1000000</f>
        <v>0.75819588000000004</v>
      </c>
      <c r="E75" s="8" t="s">
        <v>77</v>
      </c>
      <c r="F75" s="148">
        <f>698712.41/1000000</f>
        <v>0.69871241000000006</v>
      </c>
      <c r="G75" s="44">
        <v>0</v>
      </c>
      <c r="H75" s="44">
        <v>0</v>
      </c>
      <c r="I75" s="143">
        <v>0</v>
      </c>
      <c r="J75" s="148">
        <v>0</v>
      </c>
    </row>
    <row r="76" spans="1:10" ht="28.5" x14ac:dyDescent="0.25">
      <c r="A76" s="103" t="s">
        <v>199</v>
      </c>
      <c r="B76" s="13"/>
      <c r="C76" s="122" t="s">
        <v>203</v>
      </c>
      <c r="D76" s="54">
        <f>90490/1000000</f>
        <v>9.0490000000000001E-2</v>
      </c>
      <c r="E76" s="8" t="s">
        <v>77</v>
      </c>
      <c r="F76" s="148">
        <f>1719.65/1000000</f>
        <v>1.7196500000000001E-3</v>
      </c>
      <c r="G76" s="44">
        <f>597.47/1000000</f>
        <v>5.9747000000000001E-4</v>
      </c>
      <c r="H76" s="44">
        <v>0</v>
      </c>
      <c r="I76" s="143">
        <v>0</v>
      </c>
      <c r="J76" s="148">
        <v>0</v>
      </c>
    </row>
    <row r="77" spans="1:10" ht="28.5" x14ac:dyDescent="0.25">
      <c r="A77" s="103" t="s">
        <v>200</v>
      </c>
      <c r="B77" s="13"/>
      <c r="C77" s="122" t="s">
        <v>204</v>
      </c>
      <c r="D77" s="54">
        <f>349360.36/1000000</f>
        <v>0.34936035999999998</v>
      </c>
      <c r="E77" s="8" t="s">
        <v>77</v>
      </c>
      <c r="F77" s="148">
        <f>360035/1000000</f>
        <v>0.36003499999999999</v>
      </c>
      <c r="G77" s="44">
        <f>1251832.7/1000000</f>
        <v>1.2518327</v>
      </c>
      <c r="H77" s="44">
        <v>0</v>
      </c>
      <c r="I77" s="143">
        <v>0</v>
      </c>
      <c r="J77" s="148">
        <v>0</v>
      </c>
    </row>
    <row r="78" spans="1:10" ht="28.5" x14ac:dyDescent="0.25">
      <c r="A78" s="103" t="s">
        <v>201</v>
      </c>
      <c r="B78" s="13"/>
      <c r="C78" s="122" t="s">
        <v>202</v>
      </c>
      <c r="D78" s="54">
        <f>199992.16/1000000</f>
        <v>0.19999216</v>
      </c>
      <c r="E78" s="8" t="s">
        <v>77</v>
      </c>
      <c r="F78" s="148">
        <f>182205.58/1000000</f>
        <v>0.18220557999999998</v>
      </c>
      <c r="G78" s="44">
        <v>0</v>
      </c>
      <c r="H78" s="44">
        <v>0</v>
      </c>
      <c r="I78" s="143">
        <v>0</v>
      </c>
      <c r="J78" s="148">
        <v>0</v>
      </c>
    </row>
    <row r="79" spans="1:10" ht="28.5" x14ac:dyDescent="0.25">
      <c r="A79" s="103" t="s">
        <v>289</v>
      </c>
      <c r="B79" s="13"/>
      <c r="C79" s="122" t="s">
        <v>185</v>
      </c>
      <c r="D79" s="54">
        <v>0.13500000000000001</v>
      </c>
      <c r="E79" s="8" t="s">
        <v>77</v>
      </c>
      <c r="F79" s="40">
        <f>140053.54/1000000</f>
        <v>0.14005354</v>
      </c>
      <c r="G79" s="44">
        <f>709442.07/1000000</f>
        <v>0.70944206999999992</v>
      </c>
      <c r="H79" s="44">
        <v>0</v>
      </c>
      <c r="I79" s="142">
        <v>0</v>
      </c>
      <c r="J79" s="40">
        <v>0</v>
      </c>
    </row>
    <row r="80" spans="1:10" ht="28.5" x14ac:dyDescent="0.25">
      <c r="A80" s="103" t="s">
        <v>294</v>
      </c>
      <c r="B80" s="13"/>
      <c r="C80" s="122" t="s">
        <v>189</v>
      </c>
      <c r="D80" s="54">
        <v>0.379</v>
      </c>
      <c r="E80" s="8" t="s">
        <v>77</v>
      </c>
      <c r="F80" s="40">
        <f>394026.06/1000000</f>
        <v>0.39402606000000001</v>
      </c>
      <c r="G80" s="44">
        <f>2018198.46/1000000</f>
        <v>2.0181984599999998</v>
      </c>
      <c r="H80" s="44">
        <v>0</v>
      </c>
      <c r="I80" s="142">
        <v>0</v>
      </c>
      <c r="J80" s="40">
        <v>0</v>
      </c>
    </row>
    <row r="81" spans="1:11" ht="51" x14ac:dyDescent="0.25">
      <c r="A81" s="94" t="s">
        <v>1</v>
      </c>
      <c r="B81" s="14" t="s">
        <v>135</v>
      </c>
      <c r="C81" s="122" t="s">
        <v>320</v>
      </c>
      <c r="D81" s="44">
        <f>(113.022936/6.55957)*K6</f>
        <v>18.841262795956887</v>
      </c>
      <c r="E81" s="4" t="s">
        <v>136</v>
      </c>
      <c r="F81" s="40">
        <f>(19405179.41*K6)/1000000</f>
        <v>21.21956397370316</v>
      </c>
      <c r="G81" s="45">
        <v>0</v>
      </c>
      <c r="H81" s="44">
        <f>209077934.62/1000000</f>
        <v>209.07793462000001</v>
      </c>
      <c r="I81" s="40">
        <v>0</v>
      </c>
      <c r="J81" s="40">
        <v>0</v>
      </c>
    </row>
    <row r="82" spans="1:11" ht="28.5" x14ac:dyDescent="0.25">
      <c r="A82" s="105" t="s">
        <v>21</v>
      </c>
      <c r="B82" s="13"/>
      <c r="C82" s="122" t="s">
        <v>113</v>
      </c>
      <c r="D82" s="39">
        <f>300/K8</f>
        <v>12.457018614398345</v>
      </c>
      <c r="E82" s="2"/>
      <c r="F82" s="40">
        <f>2129.0538496/K8</f>
        <v>88.405544785078845</v>
      </c>
      <c r="G82" s="44">
        <f>9635453.26/1000000</f>
        <v>9.6354532600000002</v>
      </c>
      <c r="H82" s="39">
        <v>0</v>
      </c>
      <c r="I82" s="40">
        <v>0</v>
      </c>
      <c r="J82" s="40">
        <v>0</v>
      </c>
    </row>
    <row r="83" spans="1:11" ht="51" x14ac:dyDescent="0.25">
      <c r="A83" s="186" t="s">
        <v>273</v>
      </c>
      <c r="B83" s="190" t="s">
        <v>268</v>
      </c>
      <c r="C83" s="16" t="s">
        <v>269</v>
      </c>
      <c r="D83" s="55">
        <v>4.0149999999999997</v>
      </c>
      <c r="E83" s="188" t="s">
        <v>271</v>
      </c>
      <c r="F83" s="40">
        <v>0.98499999999999999</v>
      </c>
      <c r="G83" s="44">
        <v>12.054</v>
      </c>
      <c r="H83" s="132">
        <v>0</v>
      </c>
      <c r="I83" s="40">
        <v>0</v>
      </c>
      <c r="J83" s="40">
        <v>0</v>
      </c>
    </row>
    <row r="84" spans="1:11" ht="25.5" x14ac:dyDescent="0.25">
      <c r="A84" s="187"/>
      <c r="B84" s="191"/>
      <c r="C84" s="16" t="s">
        <v>270</v>
      </c>
      <c r="D84" s="55">
        <v>7.7196812799999996</v>
      </c>
      <c r="E84" s="189"/>
      <c r="F84" s="40">
        <v>1.4790000000000001</v>
      </c>
      <c r="G84" s="44">
        <v>14.193</v>
      </c>
      <c r="H84" s="56">
        <v>0</v>
      </c>
      <c r="I84" s="40">
        <v>0</v>
      </c>
      <c r="J84" s="40">
        <v>0</v>
      </c>
    </row>
    <row r="85" spans="1:11" x14ac:dyDescent="0.25">
      <c r="A85" s="106" t="s">
        <v>274</v>
      </c>
      <c r="B85" s="122"/>
      <c r="C85" s="19" t="s">
        <v>272</v>
      </c>
      <c r="D85" s="44"/>
      <c r="E85" s="3"/>
      <c r="F85" s="40">
        <v>1.2609999999999999</v>
      </c>
      <c r="G85" s="44">
        <v>0.191</v>
      </c>
      <c r="H85" s="120">
        <v>0</v>
      </c>
      <c r="I85" s="40">
        <v>0</v>
      </c>
      <c r="J85" s="40">
        <v>0</v>
      </c>
    </row>
    <row r="86" spans="1:11" ht="25.5" x14ac:dyDescent="0.25">
      <c r="A86" s="108" t="s">
        <v>241</v>
      </c>
      <c r="B86" s="16" t="s">
        <v>242</v>
      </c>
      <c r="C86" s="16" t="s">
        <v>243</v>
      </c>
      <c r="D86" s="41">
        <v>24.25</v>
      </c>
      <c r="E86" s="5" t="s">
        <v>244</v>
      </c>
      <c r="F86" s="40">
        <v>0</v>
      </c>
      <c r="G86" s="44">
        <v>0</v>
      </c>
      <c r="H86" s="44">
        <f>18061004.63/1000000</f>
        <v>18.061004629999999</v>
      </c>
      <c r="I86" s="40">
        <f>25.45601646+28.002897</f>
        <v>53.458913460000005</v>
      </c>
      <c r="J86" s="40">
        <f>27702010.98/1000000</f>
        <v>27.702010980000001</v>
      </c>
    </row>
    <row r="87" spans="1:11" ht="28.5" x14ac:dyDescent="0.25">
      <c r="A87" s="108" t="s">
        <v>210</v>
      </c>
      <c r="B87" s="16" t="s">
        <v>211</v>
      </c>
      <c r="C87" s="16" t="s">
        <v>212</v>
      </c>
      <c r="D87" s="41">
        <v>2.5880000000000001</v>
      </c>
      <c r="E87" s="5" t="s">
        <v>213</v>
      </c>
      <c r="F87" s="42">
        <v>0</v>
      </c>
      <c r="G87" s="66">
        <v>0</v>
      </c>
      <c r="H87" s="57">
        <v>0</v>
      </c>
      <c r="I87" s="40">
        <v>0</v>
      </c>
      <c r="J87" s="40">
        <v>0</v>
      </c>
    </row>
    <row r="88" spans="1:11" ht="28.5" x14ac:dyDescent="0.25">
      <c r="A88" s="108" t="s">
        <v>358</v>
      </c>
      <c r="B88" s="20"/>
      <c r="C88" s="16" t="s">
        <v>359</v>
      </c>
      <c r="D88" s="41"/>
      <c r="E88" s="5"/>
      <c r="F88" s="42">
        <v>-0.01</v>
      </c>
      <c r="G88" s="66">
        <v>0</v>
      </c>
      <c r="H88" s="57">
        <v>0</v>
      </c>
      <c r="I88" s="40">
        <v>0</v>
      </c>
      <c r="J88" s="40">
        <v>0</v>
      </c>
    </row>
    <row r="89" spans="1:11" x14ac:dyDescent="0.25">
      <c r="A89" s="108" t="s">
        <v>219</v>
      </c>
      <c r="B89" s="13"/>
      <c r="C89" s="19" t="s">
        <v>218</v>
      </c>
      <c r="D89" s="39"/>
      <c r="E89" s="3"/>
      <c r="F89" s="40">
        <v>1.661</v>
      </c>
      <c r="G89" s="44">
        <v>12.939</v>
      </c>
      <c r="H89" s="39">
        <v>0</v>
      </c>
      <c r="I89" s="40">
        <f>3000/1000000+19000/1000000+6000/1000000+12500/1000000+9000/1000000+15000/1000000+17000/1000000+5000/1000000</f>
        <v>8.6500000000000007E-2</v>
      </c>
      <c r="J89" s="40">
        <f>11000/1000000+7000/1000000+10000/1000000+1000/1000000+7000/1000000</f>
        <v>3.5999999999999997E-2</v>
      </c>
      <c r="K89" s="160"/>
    </row>
    <row r="90" spans="1:11" x14ac:dyDescent="0.25">
      <c r="A90" s="108" t="s">
        <v>220</v>
      </c>
      <c r="B90" s="17"/>
      <c r="C90" s="5" t="s">
        <v>217</v>
      </c>
      <c r="D90" s="58"/>
      <c r="E90" s="18"/>
      <c r="F90" s="59">
        <v>0.745</v>
      </c>
      <c r="G90" s="136">
        <v>4.0019999999999998</v>
      </c>
      <c r="H90" s="39">
        <v>0</v>
      </c>
      <c r="I90" s="40">
        <f>0.2+0.2</f>
        <v>0.4</v>
      </c>
      <c r="J90" s="40">
        <v>0</v>
      </c>
    </row>
    <row r="91" spans="1:11" x14ac:dyDescent="0.25">
      <c r="A91" s="108" t="s">
        <v>222</v>
      </c>
      <c r="B91" s="13"/>
      <c r="C91" s="19" t="s">
        <v>221</v>
      </c>
      <c r="D91" s="39"/>
      <c r="E91" s="3"/>
      <c r="F91" s="40">
        <v>-6.2E-2</v>
      </c>
      <c r="G91" s="44">
        <v>0</v>
      </c>
      <c r="H91" s="39">
        <v>0</v>
      </c>
      <c r="I91" s="40">
        <f>5.73336774+1.3094585+1.32248415+2.2555584+0.90289181</f>
        <v>11.523760599999999</v>
      </c>
      <c r="J91" s="40">
        <f>4408932.13/1000000+1492333.43/1000000+1500000/1000000+2</f>
        <v>9.4012655600000006</v>
      </c>
    </row>
    <row r="92" spans="1:11" ht="28.5" x14ac:dyDescent="0.25">
      <c r="A92" s="100" t="s">
        <v>25</v>
      </c>
      <c r="B92" s="13"/>
      <c r="C92" s="19" t="s">
        <v>224</v>
      </c>
      <c r="D92" s="39"/>
      <c r="E92" s="3"/>
      <c r="F92" s="40">
        <v>6.0000000000000001E-3</v>
      </c>
      <c r="G92" s="44">
        <v>0</v>
      </c>
      <c r="H92" s="39">
        <v>0</v>
      </c>
      <c r="I92" s="40">
        <v>0</v>
      </c>
      <c r="J92" s="40">
        <v>0</v>
      </c>
      <c r="K92" s="160"/>
    </row>
    <row r="93" spans="1:11" x14ac:dyDescent="0.25">
      <c r="A93" s="108" t="s">
        <v>225</v>
      </c>
      <c r="B93" s="13"/>
      <c r="C93" s="19" t="s">
        <v>223</v>
      </c>
      <c r="D93" s="39"/>
      <c r="E93" s="3"/>
      <c r="F93" s="40">
        <v>3.9E-2</v>
      </c>
      <c r="G93" s="44">
        <v>0</v>
      </c>
      <c r="H93" s="39">
        <v>0</v>
      </c>
      <c r="I93" s="40">
        <v>0</v>
      </c>
      <c r="J93" s="40">
        <v>0</v>
      </c>
    </row>
    <row r="94" spans="1:11" ht="28.5" x14ac:dyDescent="0.25">
      <c r="A94" s="109" t="s">
        <v>280</v>
      </c>
      <c r="B94" s="16"/>
      <c r="C94" s="16" t="s">
        <v>281</v>
      </c>
      <c r="D94" s="55"/>
      <c r="E94" s="5"/>
      <c r="F94" s="42">
        <v>-2E-3</v>
      </c>
      <c r="G94" s="128">
        <v>0</v>
      </c>
      <c r="H94" s="128">
        <v>0</v>
      </c>
      <c r="I94" s="61">
        <f>2.05046062+2.19076212</f>
        <v>4.2412227399999995</v>
      </c>
      <c r="J94" s="61">
        <f>2109507.16/1000000</f>
        <v>2.1095071600000002</v>
      </c>
      <c r="K94" s="160"/>
    </row>
    <row r="95" spans="1:11" x14ac:dyDescent="0.25">
      <c r="A95" s="108" t="s">
        <v>226</v>
      </c>
      <c r="B95" s="13"/>
      <c r="C95" s="19" t="s">
        <v>227</v>
      </c>
      <c r="D95" s="39"/>
      <c r="E95" s="3"/>
      <c r="F95" s="40">
        <v>2.2909999999999999</v>
      </c>
      <c r="G95" s="44">
        <v>14.472</v>
      </c>
      <c r="H95" s="39">
        <v>0</v>
      </c>
      <c r="I95" s="40">
        <v>0</v>
      </c>
      <c r="J95" s="40">
        <v>0</v>
      </c>
    </row>
    <row r="96" spans="1:11" x14ac:dyDescent="0.25">
      <c r="A96" s="109" t="s">
        <v>228</v>
      </c>
      <c r="B96" s="16"/>
      <c r="C96" s="16" t="s">
        <v>229</v>
      </c>
      <c r="D96" s="39"/>
      <c r="E96" s="3"/>
      <c r="F96" s="40">
        <v>0</v>
      </c>
      <c r="G96" s="137">
        <v>1.0580000000000001</v>
      </c>
      <c r="H96" s="62">
        <v>0</v>
      </c>
      <c r="I96" s="40">
        <f>4.47398149+4.66950631</f>
        <v>9.1434877999999991</v>
      </c>
      <c r="J96" s="40">
        <f>4627319.15/1000000</f>
        <v>4.6273191499999999</v>
      </c>
    </row>
    <row r="97" spans="1:11" x14ac:dyDescent="0.25">
      <c r="A97" s="192" t="s">
        <v>230</v>
      </c>
      <c r="B97" s="21"/>
      <c r="C97" s="16" t="s">
        <v>231</v>
      </c>
      <c r="D97" s="54"/>
      <c r="E97" s="3"/>
      <c r="F97" s="40">
        <v>0.53700000000000003</v>
      </c>
      <c r="G97" s="137">
        <v>4.2930000000000001</v>
      </c>
      <c r="H97" s="62">
        <v>0</v>
      </c>
      <c r="I97" s="213">
        <f>0.6879846+0.69201256+0.1879846+0.19201256+0.37999716+0.9379846+0.94201256+0.17759951+0.20239765+0.5+0.5+0.5+0.5</f>
        <v>6.3999858000000005</v>
      </c>
      <c r="J97" s="213">
        <f>900000/1000000+900000/1000000+500000/1000000+500000/1000000+500000/1000000+500000/1000000+897785/1000000+897785/1000000</f>
        <v>5.5955699999999995</v>
      </c>
      <c r="K97" s="160"/>
    </row>
    <row r="98" spans="1:11" x14ac:dyDescent="0.25">
      <c r="A98" s="193"/>
      <c r="B98" s="21"/>
      <c r="C98" s="16" t="s">
        <v>232</v>
      </c>
      <c r="D98" s="54"/>
      <c r="E98" s="3"/>
      <c r="F98" s="40">
        <v>0.81699999999999995</v>
      </c>
      <c r="G98" s="137">
        <v>5.3659999999999997</v>
      </c>
      <c r="H98" s="62">
        <v>0</v>
      </c>
      <c r="I98" s="215"/>
      <c r="J98" s="215"/>
    </row>
    <row r="99" spans="1:11" x14ac:dyDescent="0.25">
      <c r="A99" s="186" t="s">
        <v>233</v>
      </c>
      <c r="B99" s="16"/>
      <c r="C99" s="158" t="s">
        <v>405</v>
      </c>
      <c r="D99" s="39"/>
      <c r="E99" s="19"/>
      <c r="F99" s="51">
        <f>0.04938222</f>
        <v>4.9382219999999998E-2</v>
      </c>
      <c r="G99" s="39">
        <v>0</v>
      </c>
      <c r="H99" s="39">
        <v>0</v>
      </c>
      <c r="I99" s="40">
        <v>0</v>
      </c>
      <c r="J99" s="40">
        <v>0</v>
      </c>
      <c r="K99" s="160"/>
    </row>
    <row r="100" spans="1:11" x14ac:dyDescent="0.25">
      <c r="A100" s="187"/>
      <c r="B100" s="16"/>
      <c r="C100" s="16" t="s">
        <v>234</v>
      </c>
      <c r="D100" s="54"/>
      <c r="E100" s="3"/>
      <c r="F100" s="40">
        <v>0.08</v>
      </c>
      <c r="G100" s="137">
        <v>1.095</v>
      </c>
      <c r="H100" s="62">
        <v>0</v>
      </c>
      <c r="I100" s="40">
        <f>1.9+0.1+0.4+0.4+0.2</f>
        <v>3</v>
      </c>
      <c r="J100" s="40">
        <f>4.9+0.3</f>
        <v>5.2</v>
      </c>
      <c r="K100" s="160"/>
    </row>
    <row r="101" spans="1:11" x14ac:dyDescent="0.25">
      <c r="A101" s="194" t="s">
        <v>362</v>
      </c>
      <c r="B101" s="16"/>
      <c r="C101" s="16" t="s">
        <v>364</v>
      </c>
      <c r="D101" s="44"/>
      <c r="E101" s="8"/>
      <c r="F101" s="51">
        <v>0</v>
      </c>
      <c r="G101" s="44">
        <v>0</v>
      </c>
      <c r="H101" s="44">
        <v>0</v>
      </c>
      <c r="I101" s="40">
        <v>0</v>
      </c>
      <c r="J101" s="40">
        <v>1.6787658599999999</v>
      </c>
      <c r="K101" s="162"/>
    </row>
    <row r="102" spans="1:11" x14ac:dyDescent="0.25">
      <c r="A102" s="196"/>
      <c r="B102" s="16"/>
      <c r="C102" s="16" t="s">
        <v>365</v>
      </c>
      <c r="D102" s="44"/>
      <c r="E102" s="8"/>
      <c r="F102" s="51">
        <v>0</v>
      </c>
      <c r="G102" s="44">
        <v>0</v>
      </c>
      <c r="H102" s="44">
        <v>0</v>
      </c>
      <c r="I102" s="40">
        <v>0</v>
      </c>
      <c r="J102" s="40">
        <v>0</v>
      </c>
      <c r="K102" s="121"/>
    </row>
    <row r="103" spans="1:11" x14ac:dyDescent="0.25">
      <c r="A103" s="181" t="s">
        <v>407</v>
      </c>
      <c r="B103" s="16"/>
      <c r="C103" s="16" t="s">
        <v>408</v>
      </c>
      <c r="D103" s="44"/>
      <c r="E103" s="8"/>
      <c r="F103" s="51">
        <v>0</v>
      </c>
      <c r="G103" s="44">
        <v>0</v>
      </c>
      <c r="H103" s="44">
        <v>0</v>
      </c>
      <c r="I103" s="40">
        <v>0</v>
      </c>
      <c r="J103" s="40">
        <f>90575.72/1000000</f>
        <v>9.0575719999999998E-2</v>
      </c>
      <c r="K103" s="121"/>
    </row>
    <row r="104" spans="1:11" x14ac:dyDescent="0.25">
      <c r="A104" s="186" t="s">
        <v>363</v>
      </c>
      <c r="B104" s="16"/>
      <c r="C104" s="158" t="s">
        <v>366</v>
      </c>
      <c r="D104" s="39"/>
      <c r="E104" s="19"/>
      <c r="F104" s="51">
        <v>0</v>
      </c>
      <c r="G104" s="39">
        <v>0</v>
      </c>
      <c r="H104" s="39">
        <v>0</v>
      </c>
      <c r="I104" s="40">
        <v>0</v>
      </c>
      <c r="J104" s="40">
        <v>0.81661103000000002</v>
      </c>
      <c r="K104" s="162"/>
    </row>
    <row r="105" spans="1:11" s="77" customFormat="1" x14ac:dyDescent="0.25">
      <c r="A105" s="187"/>
      <c r="B105" s="16"/>
      <c r="C105" s="158" t="s">
        <v>367</v>
      </c>
      <c r="D105" s="39"/>
      <c r="E105" s="19"/>
      <c r="F105" s="51">
        <v>0</v>
      </c>
      <c r="G105" s="39">
        <v>0</v>
      </c>
      <c r="H105" s="39">
        <v>0</v>
      </c>
      <c r="I105" s="40">
        <v>0</v>
      </c>
      <c r="J105" s="40">
        <v>0</v>
      </c>
      <c r="K105" s="163"/>
    </row>
    <row r="106" spans="1:11" s="77" customFormat="1" x14ac:dyDescent="0.25">
      <c r="A106" s="186" t="s">
        <v>368</v>
      </c>
      <c r="B106" s="16"/>
      <c r="C106" s="158" t="s">
        <v>369</v>
      </c>
      <c r="D106" s="39"/>
      <c r="E106" s="19"/>
      <c r="F106" s="51">
        <v>0</v>
      </c>
      <c r="G106" s="39">
        <v>0</v>
      </c>
      <c r="H106" s="39">
        <v>0</v>
      </c>
      <c r="I106" s="40">
        <v>0</v>
      </c>
      <c r="J106" s="40">
        <v>2.2956442500000001</v>
      </c>
    </row>
    <row r="107" spans="1:11" x14ac:dyDescent="0.25">
      <c r="A107" s="187"/>
      <c r="B107" s="16"/>
      <c r="C107" s="158" t="s">
        <v>370</v>
      </c>
      <c r="D107" s="39"/>
      <c r="E107" s="19"/>
      <c r="F107" s="51">
        <v>0</v>
      </c>
      <c r="G107" s="39">
        <v>0</v>
      </c>
      <c r="H107" s="39">
        <v>0</v>
      </c>
      <c r="I107" s="40">
        <v>0</v>
      </c>
      <c r="J107" s="40">
        <v>0</v>
      </c>
      <c r="K107" s="160"/>
    </row>
    <row r="108" spans="1:11" x14ac:dyDescent="0.25">
      <c r="A108" s="186" t="s">
        <v>371</v>
      </c>
      <c r="B108" s="16"/>
      <c r="C108" s="158" t="s">
        <v>372</v>
      </c>
      <c r="D108" s="39"/>
      <c r="E108" s="19"/>
      <c r="F108" s="51">
        <f>0.1443222+0.11376784+0.00040531</f>
        <v>0.25849535000000001</v>
      </c>
      <c r="G108" s="39">
        <v>0.17508802000000001</v>
      </c>
      <c r="H108" s="39">
        <v>0</v>
      </c>
      <c r="I108" s="40">
        <v>0</v>
      </c>
      <c r="J108" s="40">
        <v>0</v>
      </c>
    </row>
    <row r="109" spans="1:11" x14ac:dyDescent="0.25">
      <c r="A109" s="187"/>
      <c r="B109" s="16"/>
      <c r="C109" s="158" t="s">
        <v>373</v>
      </c>
      <c r="D109" s="39"/>
      <c r="E109" s="19"/>
      <c r="F109" s="51">
        <f>0.0084311+0.00011238</f>
        <v>8.5434800000000009E-3</v>
      </c>
      <c r="G109" s="39">
        <v>8.0515799999999992E-3</v>
      </c>
      <c r="H109" s="39">
        <v>0</v>
      </c>
      <c r="I109" s="40">
        <v>0</v>
      </c>
      <c r="J109" s="40">
        <v>0</v>
      </c>
      <c r="K109" s="160"/>
    </row>
    <row r="110" spans="1:11" x14ac:dyDescent="0.25">
      <c r="A110" s="186" t="s">
        <v>374</v>
      </c>
      <c r="B110" s="16"/>
      <c r="C110" s="158" t="s">
        <v>375</v>
      </c>
      <c r="D110" s="39"/>
      <c r="E110" s="19"/>
      <c r="F110" s="51">
        <v>0</v>
      </c>
      <c r="G110" s="39">
        <v>0</v>
      </c>
      <c r="H110" s="39">
        <v>0</v>
      </c>
      <c r="I110" s="40">
        <v>0</v>
      </c>
      <c r="J110" s="40">
        <v>13.483108</v>
      </c>
    </row>
    <row r="111" spans="1:11" x14ac:dyDescent="0.25">
      <c r="A111" s="187"/>
      <c r="B111" s="16"/>
      <c r="C111" s="158" t="s">
        <v>376</v>
      </c>
      <c r="D111" s="39"/>
      <c r="E111" s="19"/>
      <c r="F111" s="51">
        <v>0</v>
      </c>
      <c r="G111" s="39">
        <v>0</v>
      </c>
      <c r="H111" s="39">
        <v>0</v>
      </c>
      <c r="I111" s="40">
        <v>0</v>
      </c>
      <c r="J111" s="40">
        <v>0</v>
      </c>
    </row>
    <row r="112" spans="1:11" s="140" customFormat="1" x14ac:dyDescent="0.25">
      <c r="A112" s="186" t="s">
        <v>377</v>
      </c>
      <c r="B112" s="16"/>
      <c r="C112" s="158" t="s">
        <v>378</v>
      </c>
      <c r="D112" s="39"/>
      <c r="E112" s="19"/>
      <c r="F112" s="51">
        <f>0.13169111+0.06597569+0.00017161</f>
        <v>0.19783840999999999</v>
      </c>
      <c r="G112" s="39">
        <v>4.0924500000000003E-2</v>
      </c>
      <c r="H112" s="39">
        <v>0</v>
      </c>
      <c r="I112" s="40">
        <v>0</v>
      </c>
      <c r="J112" s="40">
        <v>0</v>
      </c>
    </row>
    <row r="113" spans="1:12" x14ac:dyDescent="0.25">
      <c r="A113" s="187"/>
      <c r="B113" s="16"/>
      <c r="C113" s="158" t="s">
        <v>379</v>
      </c>
      <c r="D113" s="39"/>
      <c r="E113" s="19"/>
      <c r="F113" s="51">
        <f>0.00002651+0.00000035</f>
        <v>2.6859999999999997E-5</v>
      </c>
      <c r="G113" s="39">
        <v>0</v>
      </c>
      <c r="H113" s="39">
        <v>0</v>
      </c>
      <c r="I113" s="40">
        <v>0</v>
      </c>
      <c r="J113" s="40">
        <v>0</v>
      </c>
      <c r="K113" s="160"/>
    </row>
    <row r="114" spans="1:12" x14ac:dyDescent="0.25">
      <c r="A114" s="186" t="s">
        <v>380</v>
      </c>
      <c r="B114" s="16"/>
      <c r="C114" s="158" t="s">
        <v>381</v>
      </c>
      <c r="D114" s="39"/>
      <c r="E114" s="19"/>
      <c r="F114" s="51">
        <f>0.00002651+0.00000035</f>
        <v>2.6859999999999997E-5</v>
      </c>
      <c r="G114" s="39">
        <v>0</v>
      </c>
      <c r="H114" s="39">
        <v>0</v>
      </c>
      <c r="I114" s="40">
        <v>0</v>
      </c>
      <c r="J114" s="40">
        <v>0</v>
      </c>
    </row>
    <row r="115" spans="1:12" x14ac:dyDescent="0.25">
      <c r="A115" s="187"/>
      <c r="B115" s="16"/>
      <c r="C115" s="158" t="s">
        <v>382</v>
      </c>
      <c r="D115" s="39"/>
      <c r="E115" s="19"/>
      <c r="F115" s="51">
        <v>0.49609022000000003</v>
      </c>
      <c r="G115" s="39">
        <v>0</v>
      </c>
      <c r="H115" s="39">
        <v>0</v>
      </c>
      <c r="I115" s="40">
        <v>0</v>
      </c>
      <c r="J115" s="40">
        <v>0</v>
      </c>
    </row>
    <row r="116" spans="1:12" x14ac:dyDescent="0.25">
      <c r="A116" s="186" t="s">
        <v>239</v>
      </c>
      <c r="B116" s="16"/>
      <c r="C116" s="158" t="s">
        <v>383</v>
      </c>
      <c r="D116" s="39"/>
      <c r="E116" s="19"/>
      <c r="F116" s="51">
        <f t="shared" ref="F116:F128" si="0">0.00002651+0.00000035</f>
        <v>2.6859999999999997E-5</v>
      </c>
      <c r="G116" s="39">
        <v>0</v>
      </c>
      <c r="H116" s="39">
        <v>0</v>
      </c>
      <c r="I116" s="40">
        <v>0</v>
      </c>
      <c r="J116" s="40">
        <v>0</v>
      </c>
    </row>
    <row r="117" spans="1:12" x14ac:dyDescent="0.25">
      <c r="A117" s="187"/>
      <c r="B117" s="16"/>
      <c r="C117" s="158" t="s">
        <v>384</v>
      </c>
      <c r="D117" s="39"/>
      <c r="E117" s="19"/>
      <c r="F117" s="51">
        <f t="shared" si="0"/>
        <v>2.6859999999999997E-5</v>
      </c>
      <c r="G117" s="39">
        <v>0</v>
      </c>
      <c r="H117" s="39">
        <v>0</v>
      </c>
      <c r="I117" s="40">
        <v>0</v>
      </c>
      <c r="J117" s="40">
        <v>0</v>
      </c>
    </row>
    <row r="118" spans="1:12" x14ac:dyDescent="0.25">
      <c r="A118" s="186" t="s">
        <v>385</v>
      </c>
      <c r="B118" s="16"/>
      <c r="C118" s="158" t="s">
        <v>386</v>
      </c>
      <c r="D118" s="39"/>
      <c r="E118" s="19"/>
      <c r="F118" s="51">
        <f t="shared" si="0"/>
        <v>2.6859999999999997E-5</v>
      </c>
      <c r="G118" s="39">
        <v>0</v>
      </c>
      <c r="H118" s="39">
        <v>0</v>
      </c>
      <c r="I118" s="40">
        <v>0</v>
      </c>
      <c r="J118" s="40">
        <v>0</v>
      </c>
    </row>
    <row r="119" spans="1:12" x14ac:dyDescent="0.25">
      <c r="A119" s="187"/>
      <c r="B119" s="16"/>
      <c r="C119" s="16" t="s">
        <v>387</v>
      </c>
      <c r="D119" s="44"/>
      <c r="E119" s="8"/>
      <c r="F119" s="51">
        <f t="shared" si="0"/>
        <v>2.6859999999999997E-5</v>
      </c>
      <c r="G119" s="44">
        <v>0</v>
      </c>
      <c r="H119" s="44">
        <v>0</v>
      </c>
      <c r="I119" s="40">
        <v>0</v>
      </c>
      <c r="J119" s="40">
        <v>12.628956349999999</v>
      </c>
    </row>
    <row r="120" spans="1:12" x14ac:dyDescent="0.25">
      <c r="A120" s="104" t="s">
        <v>239</v>
      </c>
      <c r="B120" s="20"/>
      <c r="C120" s="16" t="s">
        <v>237</v>
      </c>
      <c r="D120" s="44"/>
      <c r="E120" s="3"/>
      <c r="F120" s="40">
        <v>0</v>
      </c>
      <c r="G120" s="137">
        <v>0</v>
      </c>
      <c r="H120" s="137">
        <v>0</v>
      </c>
      <c r="I120" s="40">
        <f>4.68490621+5.04995701</f>
        <v>9.7348632200000011</v>
      </c>
      <c r="J120" s="40">
        <f>4837107.87/1000000+11256443.63/1000000</f>
        <v>16.093551500000004</v>
      </c>
    </row>
    <row r="121" spans="1:12" s="72" customFormat="1" x14ac:dyDescent="0.2">
      <c r="A121" s="186" t="s">
        <v>388</v>
      </c>
      <c r="B121" s="16"/>
      <c r="C121" s="158" t="s">
        <v>389</v>
      </c>
      <c r="D121" s="39"/>
      <c r="E121" s="19"/>
      <c r="F121" s="51">
        <f t="shared" si="0"/>
        <v>2.6859999999999997E-5</v>
      </c>
      <c r="G121" s="39">
        <v>0</v>
      </c>
      <c r="H121" s="39">
        <v>0</v>
      </c>
      <c r="I121" s="40">
        <v>0</v>
      </c>
      <c r="J121" s="40">
        <v>10.003223670000001</v>
      </c>
      <c r="K121" s="73"/>
    </row>
    <row r="122" spans="1:12" s="74" customFormat="1" x14ac:dyDescent="0.25">
      <c r="A122" s="187"/>
      <c r="B122" s="16"/>
      <c r="C122" s="158" t="s">
        <v>390</v>
      </c>
      <c r="D122" s="39"/>
      <c r="E122" s="19"/>
      <c r="F122" s="51">
        <f t="shared" si="0"/>
        <v>2.6859999999999997E-5</v>
      </c>
      <c r="G122" s="39">
        <v>0</v>
      </c>
      <c r="H122" s="39">
        <v>0</v>
      </c>
      <c r="I122" s="40">
        <v>0</v>
      </c>
      <c r="J122" s="40">
        <v>0</v>
      </c>
      <c r="K122" s="159"/>
      <c r="L122" s="75"/>
    </row>
    <row r="123" spans="1:12" s="74" customFormat="1" x14ac:dyDescent="0.25">
      <c r="A123" s="186" t="s">
        <v>391</v>
      </c>
      <c r="B123" s="16"/>
      <c r="C123" s="158" t="s">
        <v>392</v>
      </c>
      <c r="D123" s="39"/>
      <c r="E123" s="19"/>
      <c r="F123" s="51">
        <f t="shared" si="0"/>
        <v>2.6859999999999997E-5</v>
      </c>
      <c r="G123" s="39">
        <v>0</v>
      </c>
      <c r="H123" s="39">
        <v>0</v>
      </c>
      <c r="I123" s="40">
        <v>0</v>
      </c>
      <c r="J123" s="40">
        <v>0</v>
      </c>
      <c r="K123" s="75"/>
      <c r="L123" s="75"/>
    </row>
    <row r="124" spans="1:12" s="77" customFormat="1" x14ac:dyDescent="0.25">
      <c r="A124" s="187"/>
      <c r="B124" s="16"/>
      <c r="C124" s="158" t="s">
        <v>393</v>
      </c>
      <c r="D124" s="39"/>
      <c r="E124" s="19"/>
      <c r="F124" s="51">
        <f t="shared" si="0"/>
        <v>2.6859999999999997E-5</v>
      </c>
      <c r="G124" s="39">
        <v>0</v>
      </c>
      <c r="H124" s="39">
        <v>0</v>
      </c>
      <c r="I124" s="40">
        <v>0</v>
      </c>
      <c r="J124" s="40">
        <v>2.5535198600000002</v>
      </c>
      <c r="K124" s="160"/>
    </row>
    <row r="125" spans="1:12" s="77" customFormat="1" x14ac:dyDescent="0.25">
      <c r="A125" s="186" t="s">
        <v>394</v>
      </c>
      <c r="B125" s="16"/>
      <c r="C125" s="158" t="s">
        <v>395</v>
      </c>
      <c r="D125" s="39"/>
      <c r="E125" s="19"/>
      <c r="F125" s="51">
        <f t="shared" si="0"/>
        <v>2.6859999999999997E-5</v>
      </c>
      <c r="G125" s="39">
        <v>0</v>
      </c>
      <c r="H125" s="39">
        <v>0</v>
      </c>
      <c r="I125" s="40">
        <v>0</v>
      </c>
      <c r="J125" s="40">
        <v>1.37516821</v>
      </c>
    </row>
    <row r="126" spans="1:12" s="77" customFormat="1" x14ac:dyDescent="0.25">
      <c r="A126" s="187"/>
      <c r="B126" s="16"/>
      <c r="C126" s="158" t="s">
        <v>396</v>
      </c>
      <c r="D126" s="39"/>
      <c r="E126" s="19"/>
      <c r="F126" s="51">
        <f t="shared" si="0"/>
        <v>2.6859999999999997E-5</v>
      </c>
      <c r="G126" s="39">
        <v>0</v>
      </c>
      <c r="H126" s="39">
        <v>0</v>
      </c>
      <c r="I126" s="40">
        <v>0</v>
      </c>
      <c r="J126" s="40">
        <v>0</v>
      </c>
    </row>
    <row r="127" spans="1:12" s="77" customFormat="1" x14ac:dyDescent="0.25">
      <c r="A127" s="186" t="s">
        <v>397</v>
      </c>
      <c r="B127" s="16"/>
      <c r="C127" s="158" t="s">
        <v>398</v>
      </c>
      <c r="D127" s="39"/>
      <c r="E127" s="19"/>
      <c r="F127" s="51">
        <f t="shared" si="0"/>
        <v>2.6859999999999997E-5</v>
      </c>
      <c r="G127" s="39">
        <v>0</v>
      </c>
      <c r="H127" s="39">
        <v>0</v>
      </c>
      <c r="I127" s="40">
        <v>0</v>
      </c>
      <c r="J127" s="40">
        <v>6.7613875099999996</v>
      </c>
      <c r="K127" s="160"/>
    </row>
    <row r="128" spans="1:12" s="77" customFormat="1" x14ac:dyDescent="0.25">
      <c r="A128" s="187"/>
      <c r="B128" s="16"/>
      <c r="C128" s="158" t="s">
        <v>399</v>
      </c>
      <c r="D128" s="39"/>
      <c r="E128" s="19"/>
      <c r="F128" s="51">
        <f t="shared" si="0"/>
        <v>2.6859999999999997E-5</v>
      </c>
      <c r="G128" s="39">
        <v>0</v>
      </c>
      <c r="H128" s="39">
        <v>0</v>
      </c>
      <c r="I128" s="40">
        <v>0</v>
      </c>
      <c r="J128" s="40">
        <v>0</v>
      </c>
      <c r="K128" s="160"/>
    </row>
    <row r="129" spans="1:11" s="77" customFormat="1" x14ac:dyDescent="0.25">
      <c r="A129" s="157" t="s">
        <v>400</v>
      </c>
      <c r="B129" s="16"/>
      <c r="C129" s="158" t="s">
        <v>401</v>
      </c>
      <c r="D129" s="39"/>
      <c r="E129" s="19"/>
      <c r="F129" s="40">
        <v>0</v>
      </c>
      <c r="G129" s="39">
        <v>0</v>
      </c>
      <c r="H129" s="39">
        <v>0</v>
      </c>
      <c r="I129" s="40">
        <v>0</v>
      </c>
      <c r="J129" s="40">
        <v>0.36180199000000002</v>
      </c>
    </row>
    <row r="130" spans="1:11" s="77" customFormat="1" x14ac:dyDescent="0.25">
      <c r="A130" s="192" t="s">
        <v>238</v>
      </c>
      <c r="B130" s="20"/>
      <c r="C130" s="16" t="s">
        <v>240</v>
      </c>
      <c r="D130" s="39"/>
      <c r="E130" s="3"/>
      <c r="F130" s="40">
        <v>0.223</v>
      </c>
      <c r="G130" s="137">
        <v>0</v>
      </c>
      <c r="H130" s="62">
        <v>0</v>
      </c>
      <c r="I130" s="40">
        <f>5.46095661+5.47151592+2.66264639+8.86795822</f>
        <v>22.463077140000003</v>
      </c>
      <c r="J130" s="40">
        <f>5199778.25/1000000+5877815.33/1000000</f>
        <v>11.077593579999998</v>
      </c>
      <c r="K130" s="160"/>
    </row>
    <row r="131" spans="1:11" s="77" customFormat="1" x14ac:dyDescent="0.25">
      <c r="A131" s="193"/>
      <c r="B131" s="16"/>
      <c r="C131" s="158" t="s">
        <v>402</v>
      </c>
      <c r="D131" s="39"/>
      <c r="E131" s="19"/>
      <c r="F131" s="40">
        <v>0</v>
      </c>
      <c r="G131" s="39">
        <v>0</v>
      </c>
      <c r="H131" s="39">
        <v>0</v>
      </c>
      <c r="I131" s="40">
        <v>0</v>
      </c>
      <c r="J131" s="40">
        <v>2.8622306499999999</v>
      </c>
    </row>
    <row r="132" spans="1:11" s="180" customFormat="1" ht="28.5" x14ac:dyDescent="0.25">
      <c r="A132" s="177" t="s">
        <v>403</v>
      </c>
      <c r="B132" s="16"/>
      <c r="C132" s="158" t="s">
        <v>404</v>
      </c>
      <c r="D132" s="178"/>
      <c r="E132" s="19"/>
      <c r="F132" s="40">
        <f>0.04991696+0.01581558+0.00004665</f>
        <v>6.5779190000000001E-2</v>
      </c>
      <c r="G132" s="39">
        <v>0</v>
      </c>
      <c r="H132" s="39">
        <v>0</v>
      </c>
      <c r="I132" s="40">
        <v>0</v>
      </c>
      <c r="J132" s="40">
        <v>0</v>
      </c>
      <c r="K132" s="179"/>
    </row>
    <row r="133" spans="1:11" s="77" customFormat="1" ht="28.5" x14ac:dyDescent="0.25">
      <c r="A133" s="110" t="s">
        <v>235</v>
      </c>
      <c r="B133" s="16"/>
      <c r="C133" s="16" t="s">
        <v>236</v>
      </c>
      <c r="D133" s="39"/>
      <c r="E133" s="3"/>
      <c r="F133" s="40">
        <v>1.3120000000000001</v>
      </c>
      <c r="G133" s="44">
        <v>8.1120000000000001</v>
      </c>
      <c r="H133" s="39">
        <v>0</v>
      </c>
      <c r="I133" s="40">
        <f>1.245+2.1806+0.695+0.16</f>
        <v>4.2806000000000006</v>
      </c>
      <c r="J133" s="40">
        <f>440000/1000000</f>
        <v>0.44</v>
      </c>
      <c r="K133" s="160"/>
    </row>
    <row r="134" spans="1:11" s="77" customFormat="1" x14ac:dyDescent="0.25">
      <c r="A134" s="110" t="s">
        <v>245</v>
      </c>
      <c r="B134" s="22"/>
      <c r="C134" s="16" t="s">
        <v>246</v>
      </c>
      <c r="D134" s="63"/>
      <c r="E134" s="23"/>
      <c r="F134" s="64">
        <v>0</v>
      </c>
      <c r="G134" s="138">
        <v>0</v>
      </c>
      <c r="H134" s="62">
        <v>0</v>
      </c>
      <c r="I134" s="40">
        <f>4.20731907+4.53864387</f>
        <v>8.7459629399999983</v>
      </c>
      <c r="J134" s="40">
        <f>2293318.87/1000000+2046161.34/1000000+3974223.28/1000000</f>
        <v>8.31370349</v>
      </c>
      <c r="K134" s="160"/>
    </row>
    <row r="135" spans="1:11" s="77" customFormat="1" x14ac:dyDescent="0.25">
      <c r="A135" s="192" t="s">
        <v>328</v>
      </c>
      <c r="B135" s="16"/>
      <c r="C135" s="16" t="s">
        <v>247</v>
      </c>
      <c r="D135" s="63"/>
      <c r="E135" s="23"/>
      <c r="F135" s="64">
        <v>0</v>
      </c>
      <c r="G135" s="138">
        <v>0</v>
      </c>
      <c r="H135" s="62">
        <v>0</v>
      </c>
      <c r="I135" s="213">
        <f>25.75583336+8.79451249+28.83378476+9.56934659</f>
        <v>72.953477199999995</v>
      </c>
      <c r="J135" s="213">
        <f>27975891.85/1000000+9020611.51/1000000</f>
        <v>36.996503359999998</v>
      </c>
    </row>
    <row r="136" spans="1:11" s="77" customFormat="1" x14ac:dyDescent="0.25">
      <c r="A136" s="193"/>
      <c r="B136" s="16"/>
      <c r="C136" s="16" t="s">
        <v>248</v>
      </c>
      <c r="D136" s="63"/>
      <c r="E136" s="23"/>
      <c r="F136" s="64">
        <v>0</v>
      </c>
      <c r="G136" s="138">
        <v>0</v>
      </c>
      <c r="H136" s="62">
        <v>0</v>
      </c>
      <c r="I136" s="215"/>
      <c r="J136" s="215"/>
      <c r="K136" s="160"/>
    </row>
    <row r="137" spans="1:11" s="77" customFormat="1" x14ac:dyDescent="0.25">
      <c r="A137" s="192" t="s">
        <v>249</v>
      </c>
      <c r="B137" s="16"/>
      <c r="C137" s="16" t="s">
        <v>250</v>
      </c>
      <c r="D137" s="63"/>
      <c r="E137" s="23"/>
      <c r="F137" s="64">
        <v>0.15</v>
      </c>
      <c r="G137" s="138">
        <v>0</v>
      </c>
      <c r="H137" s="62">
        <v>0</v>
      </c>
      <c r="I137" s="213">
        <f>10.96949735+6.91358518+12.16185811+7.46744853</f>
        <v>37.512389169999999</v>
      </c>
      <c r="J137" s="213">
        <f>3120607.08/1000000+3955236.31/1000000+2031299.72/1000000+1161034.38/1000000+1768372.87/1000000+2566056.4/1000000</f>
        <v>14.60260676</v>
      </c>
      <c r="K137" s="160"/>
    </row>
    <row r="138" spans="1:11" s="77" customFormat="1" x14ac:dyDescent="0.25">
      <c r="A138" s="193"/>
      <c r="B138" s="16"/>
      <c r="C138" s="16" t="s">
        <v>251</v>
      </c>
      <c r="D138" s="63"/>
      <c r="E138" s="23"/>
      <c r="F138" s="64">
        <v>0</v>
      </c>
      <c r="G138" s="138">
        <v>0</v>
      </c>
      <c r="H138" s="62">
        <v>0</v>
      </c>
      <c r="I138" s="215"/>
      <c r="J138" s="215"/>
      <c r="K138" s="160"/>
    </row>
    <row r="139" spans="1:11" s="77" customFormat="1" x14ac:dyDescent="0.25">
      <c r="A139" s="194" t="s">
        <v>334</v>
      </c>
      <c r="B139" s="125"/>
      <c r="C139" s="16" t="s">
        <v>254</v>
      </c>
      <c r="D139" s="39"/>
      <c r="E139" s="3"/>
      <c r="F139" s="40">
        <v>0</v>
      </c>
      <c r="G139" s="44">
        <v>0</v>
      </c>
      <c r="H139" s="39">
        <v>0</v>
      </c>
      <c r="I139" s="40">
        <f>34.30048865+83.81884978</f>
        <v>118.11933843</v>
      </c>
      <c r="J139" s="40">
        <f>81.92579215+75.7798294</f>
        <v>157.70562154999999</v>
      </c>
      <c r="K139" s="160"/>
    </row>
    <row r="140" spans="1:11" ht="25.5" x14ac:dyDescent="0.25">
      <c r="A140" s="195"/>
      <c r="B140" s="122"/>
      <c r="C140" s="122" t="s">
        <v>256</v>
      </c>
      <c r="D140" s="39"/>
      <c r="E140" s="3"/>
      <c r="F140" s="40">
        <v>0</v>
      </c>
      <c r="G140" s="44">
        <v>0</v>
      </c>
      <c r="H140" s="39">
        <v>0</v>
      </c>
      <c r="I140" s="40">
        <f>192.60906588+204.21768698</f>
        <v>396.82675286</v>
      </c>
      <c r="J140" s="40">
        <f>206573063.9/1000000</f>
        <v>206.57306389999999</v>
      </c>
    </row>
    <row r="141" spans="1:11" x14ac:dyDescent="0.25">
      <c r="A141" s="195"/>
      <c r="B141" s="122" t="s">
        <v>255</v>
      </c>
      <c r="C141" s="122" t="s">
        <v>258</v>
      </c>
      <c r="D141" s="39">
        <v>200</v>
      </c>
      <c r="E141" s="3"/>
      <c r="F141" s="40">
        <v>0</v>
      </c>
      <c r="G141" s="44">
        <v>0</v>
      </c>
      <c r="H141" s="39">
        <v>0</v>
      </c>
      <c r="I141" s="40">
        <f>141.96436347+157.97186833</f>
        <v>299.93623179999997</v>
      </c>
      <c r="J141" s="40">
        <f>154751731.81/1000000+148904962.44/1000000</f>
        <v>303.65669424999999</v>
      </c>
      <c r="K141" s="160"/>
    </row>
    <row r="142" spans="1:11" ht="25.5" x14ac:dyDescent="0.25">
      <c r="A142" s="196"/>
      <c r="B142" s="123"/>
      <c r="C142" s="152" t="s">
        <v>257</v>
      </c>
      <c r="D142" s="124"/>
      <c r="E142" s="28"/>
      <c r="F142" s="147">
        <v>0</v>
      </c>
      <c r="G142" s="49">
        <v>0</v>
      </c>
      <c r="H142" s="145">
        <v>0</v>
      </c>
      <c r="I142" s="147">
        <f>287.9582061+290.89301385</f>
        <v>578.85121994999997</v>
      </c>
      <c r="J142" s="147">
        <f>272.5973291</f>
        <v>272.59732910000002</v>
      </c>
      <c r="K142" s="160"/>
    </row>
    <row r="143" spans="1:11" ht="25.5" x14ac:dyDescent="0.25">
      <c r="A143" s="181" t="s">
        <v>409</v>
      </c>
      <c r="B143" s="123"/>
      <c r="C143" s="184" t="s">
        <v>413</v>
      </c>
      <c r="D143" s="124"/>
      <c r="E143" s="28"/>
      <c r="F143" s="183">
        <v>0</v>
      </c>
      <c r="G143" s="49">
        <v>0</v>
      </c>
      <c r="H143" s="182">
        <v>0</v>
      </c>
      <c r="I143" s="183">
        <v>0</v>
      </c>
      <c r="J143" s="183">
        <f>2006906.53/1000000</f>
        <v>2.0069065300000002</v>
      </c>
      <c r="K143" s="160"/>
    </row>
    <row r="144" spans="1:11" x14ac:dyDescent="0.25">
      <c r="A144" s="194" t="s">
        <v>259</v>
      </c>
      <c r="B144" s="122"/>
      <c r="C144" s="16" t="s">
        <v>336</v>
      </c>
      <c r="D144" s="39"/>
      <c r="E144" s="8"/>
      <c r="F144" s="51">
        <v>-1E-3</v>
      </c>
      <c r="G144" s="45">
        <v>0</v>
      </c>
      <c r="H144" s="39">
        <v>0</v>
      </c>
      <c r="I144" s="40">
        <f>27.54523849+31.47375068</f>
        <v>59.018989169999998</v>
      </c>
      <c r="J144" s="40">
        <f>29065253.8/1000000+26214905.65/1000000</f>
        <v>55.280159449999999</v>
      </c>
      <c r="K144" s="160"/>
    </row>
    <row r="145" spans="1:11" x14ac:dyDescent="0.25">
      <c r="A145" s="195"/>
      <c r="B145" s="16"/>
      <c r="C145" s="16" t="s">
        <v>260</v>
      </c>
      <c r="D145" s="39"/>
      <c r="E145" s="8"/>
      <c r="F145" s="51">
        <v>-2E-3</v>
      </c>
      <c r="G145" s="44">
        <v>0</v>
      </c>
      <c r="H145" s="39">
        <v>0</v>
      </c>
      <c r="I145" s="40">
        <v>0</v>
      </c>
      <c r="J145" s="40">
        <v>0</v>
      </c>
      <c r="K145" s="160"/>
    </row>
    <row r="146" spans="1:11" x14ac:dyDescent="0.25">
      <c r="A146" s="195"/>
      <c r="B146" s="16"/>
      <c r="C146" s="16" t="s">
        <v>279</v>
      </c>
      <c r="D146" s="39"/>
      <c r="E146" s="8"/>
      <c r="F146" s="51">
        <v>0</v>
      </c>
      <c r="G146" s="44">
        <v>0</v>
      </c>
      <c r="H146" s="39">
        <v>0</v>
      </c>
      <c r="I146" s="40">
        <f>110.6693446+114.02634816</f>
        <v>224.69569275999999</v>
      </c>
      <c r="J146" s="40">
        <f>113.29643733+106.16881514</f>
        <v>219.46525247</v>
      </c>
      <c r="K146" s="160"/>
    </row>
    <row r="147" spans="1:11" x14ac:dyDescent="0.25">
      <c r="A147" s="196"/>
      <c r="B147" s="16"/>
      <c r="C147" s="16" t="s">
        <v>331</v>
      </c>
      <c r="D147" s="39"/>
      <c r="E147" s="8"/>
      <c r="F147" s="51">
        <v>0</v>
      </c>
      <c r="G147" s="44">
        <v>0</v>
      </c>
      <c r="H147" s="39">
        <v>0</v>
      </c>
      <c r="I147" s="40">
        <f>61.95743559+63.45411506</f>
        <v>125.41155065000001</v>
      </c>
      <c r="J147" s="40">
        <f>62.67219699+58.38148675</f>
        <v>121.05368374</v>
      </c>
      <c r="K147" s="160"/>
    </row>
    <row r="148" spans="1:11" s="77" customFormat="1" ht="35.25" customHeight="1" x14ac:dyDescent="0.25">
      <c r="A148" s="185" t="s">
        <v>261</v>
      </c>
      <c r="B148" s="151"/>
      <c r="C148" s="152" t="s">
        <v>264</v>
      </c>
      <c r="D148" s="124">
        <v>20</v>
      </c>
      <c r="E148" s="29"/>
      <c r="F148" s="147">
        <v>2.4239999999999999</v>
      </c>
      <c r="G148" s="49">
        <v>0</v>
      </c>
      <c r="H148" s="49">
        <f>(1446125.62+5320.28+442.09)/1000000</f>
        <v>1.4518879900000001</v>
      </c>
      <c r="I148" s="147">
        <v>0</v>
      </c>
      <c r="J148" s="147">
        <v>0</v>
      </c>
      <c r="K148" s="160"/>
    </row>
    <row r="149" spans="1:11" s="77" customFormat="1" x14ac:dyDescent="0.25">
      <c r="A149" s="102" t="s">
        <v>252</v>
      </c>
      <c r="B149" s="16"/>
      <c r="C149" s="19" t="s">
        <v>253</v>
      </c>
      <c r="D149" s="39"/>
      <c r="E149" s="8"/>
      <c r="F149" s="51">
        <v>0</v>
      </c>
      <c r="G149" s="65">
        <v>0</v>
      </c>
      <c r="H149" s="50">
        <v>0</v>
      </c>
      <c r="I149" s="51">
        <v>0</v>
      </c>
      <c r="J149" s="51">
        <v>0</v>
      </c>
      <c r="K149" s="160"/>
    </row>
    <row r="150" spans="1:11" s="77" customFormat="1" ht="25.5" x14ac:dyDescent="0.25">
      <c r="A150" s="194" t="s">
        <v>263</v>
      </c>
      <c r="B150" s="2"/>
      <c r="C150" s="4" t="s">
        <v>262</v>
      </c>
      <c r="D150" s="39"/>
      <c r="E150" s="3"/>
      <c r="F150" s="51">
        <v>-0.36499999999999999</v>
      </c>
      <c r="G150" s="65">
        <f>1.676</f>
        <v>1.6759999999999999</v>
      </c>
      <c r="H150" s="65">
        <v>0</v>
      </c>
      <c r="I150" s="51">
        <f>466.40124609+498.703387</f>
        <v>965.10463308999999</v>
      </c>
      <c r="J150" s="51">
        <f>516.12705868</f>
        <v>516.12705868</v>
      </c>
      <c r="K150" s="160"/>
    </row>
    <row r="151" spans="1:11" s="77" customFormat="1" ht="25.5" x14ac:dyDescent="0.25">
      <c r="A151" s="195"/>
      <c r="B151" s="3"/>
      <c r="C151" s="4" t="s">
        <v>311</v>
      </c>
      <c r="D151" s="39"/>
      <c r="E151" s="4"/>
      <c r="F151" s="51">
        <v>-1.6E-2</v>
      </c>
      <c r="G151" s="65">
        <v>0</v>
      </c>
      <c r="H151" s="65">
        <v>0</v>
      </c>
      <c r="I151" s="51">
        <v>0</v>
      </c>
      <c r="J151" s="51">
        <v>0</v>
      </c>
    </row>
    <row r="152" spans="1:11" s="77" customFormat="1" x14ac:dyDescent="0.25">
      <c r="A152" s="195"/>
      <c r="B152" s="3"/>
      <c r="C152" s="4" t="s">
        <v>265</v>
      </c>
      <c r="D152" s="39"/>
      <c r="E152" s="4"/>
      <c r="F152" s="51">
        <v>-0.32300000000000001</v>
      </c>
      <c r="G152" s="65">
        <v>1.4850000000000001</v>
      </c>
      <c r="H152" s="65">
        <v>0</v>
      </c>
      <c r="I152" s="51">
        <f>289.27880379+271.96599336</f>
        <v>561.24479715000007</v>
      </c>
      <c r="J152" s="51">
        <f>263.98296497+240.9707579</f>
        <v>504.95372286999998</v>
      </c>
    </row>
    <row r="153" spans="1:11" ht="25.5" x14ac:dyDescent="0.25">
      <c r="A153" s="195"/>
      <c r="B153" s="3"/>
      <c r="C153" s="4" t="s">
        <v>312</v>
      </c>
      <c r="D153" s="39"/>
      <c r="E153" s="4"/>
      <c r="F153" s="51">
        <v>-0.309</v>
      </c>
      <c r="G153" s="65">
        <v>0.27700000000000002</v>
      </c>
      <c r="H153" s="65">
        <v>0</v>
      </c>
      <c r="I153" s="51">
        <f>221.39302645+208.08403313</f>
        <v>429.47705958</v>
      </c>
      <c r="J153" s="51">
        <f>203.38443313+185.65478648</f>
        <v>389.03921961000003</v>
      </c>
      <c r="K153" s="160"/>
    </row>
    <row r="154" spans="1:11" ht="25.5" x14ac:dyDescent="0.25">
      <c r="A154" s="195"/>
      <c r="B154" s="3"/>
      <c r="C154" s="4" t="s">
        <v>313</v>
      </c>
      <c r="D154" s="39"/>
      <c r="E154" s="4"/>
      <c r="F154" s="51">
        <v>-0.12</v>
      </c>
      <c r="G154" s="65">
        <v>0.12</v>
      </c>
      <c r="H154" s="65">
        <v>0</v>
      </c>
      <c r="I154" s="51">
        <f>131.74227896+156.08171358</f>
        <v>287.82399254000001</v>
      </c>
      <c r="J154" s="51">
        <f>161.13440409</f>
        <v>161.13440409</v>
      </c>
      <c r="K154" s="160"/>
    </row>
    <row r="155" spans="1:11" s="72" customFormat="1" x14ac:dyDescent="0.25">
      <c r="A155" s="195"/>
      <c r="B155" s="3"/>
      <c r="C155" s="4" t="s">
        <v>266</v>
      </c>
      <c r="D155" s="39"/>
      <c r="E155" s="4"/>
      <c r="F155" s="51">
        <v>-6.9000000000000006E-2</v>
      </c>
      <c r="G155" s="65">
        <v>0.91600000000000004</v>
      </c>
      <c r="H155" s="121">
        <v>0</v>
      </c>
      <c r="I155" s="51">
        <f>131.27780932+131.39285645</f>
        <v>262.67066577000003</v>
      </c>
      <c r="J155" s="51">
        <f>123.20069504</f>
        <v>123.20069504</v>
      </c>
      <c r="K155" s="161"/>
    </row>
    <row r="156" spans="1:11" s="72" customFormat="1" x14ac:dyDescent="0.25">
      <c r="A156" s="195"/>
      <c r="B156" s="3"/>
      <c r="C156" s="4" t="s">
        <v>350</v>
      </c>
      <c r="D156" s="39"/>
      <c r="E156" s="4"/>
      <c r="F156" s="51">
        <v>-1.7000000000000001E-2</v>
      </c>
      <c r="G156" s="65">
        <v>0</v>
      </c>
      <c r="H156" s="131">
        <v>0</v>
      </c>
      <c r="I156" s="51">
        <v>363.80446289000002</v>
      </c>
      <c r="J156" s="51">
        <f>392677924.98/1000000</f>
        <v>392.67792498</v>
      </c>
      <c r="K156" s="161"/>
    </row>
    <row r="157" spans="1:11" x14ac:dyDescent="0.25">
      <c r="A157" s="196"/>
      <c r="B157" s="3"/>
      <c r="C157" s="4" t="s">
        <v>267</v>
      </c>
      <c r="D157" s="39"/>
      <c r="E157" s="4"/>
      <c r="F157" s="51">
        <v>-6.2E-2</v>
      </c>
      <c r="G157" s="65">
        <v>0</v>
      </c>
      <c r="H157" s="65">
        <v>0</v>
      </c>
      <c r="I157" s="51">
        <f>199.91778317+212.53085701</f>
        <v>412.44864017999998</v>
      </c>
      <c r="J157" s="51">
        <f>201.8956355</f>
        <v>201.8956355</v>
      </c>
      <c r="K157" s="160"/>
    </row>
    <row r="158" spans="1:11" ht="15.75" thickBot="1" x14ac:dyDescent="0.3">
      <c r="A158" s="95" t="s">
        <v>332</v>
      </c>
      <c r="B158" s="27"/>
      <c r="C158" s="152" t="s">
        <v>333</v>
      </c>
      <c r="D158" s="57"/>
      <c r="E158" s="29"/>
      <c r="F158" s="149">
        <v>0.35699999999999998</v>
      </c>
      <c r="G158" s="66">
        <v>0.54600000000000004</v>
      </c>
      <c r="H158" s="66">
        <v>0</v>
      </c>
      <c r="I158" s="149">
        <f>6.53132849+4.43337698+1.32/1000000</f>
        <v>10.964706790000001</v>
      </c>
      <c r="J158" s="149">
        <f>10777240.44/1000000+1705421.46/1000000+8519927.7/1000000</f>
        <v>21.0025896</v>
      </c>
      <c r="K158" s="160"/>
    </row>
    <row r="159" spans="1:11" ht="15.75" thickBot="1" x14ac:dyDescent="0.3">
      <c r="A159" s="168" t="s">
        <v>322</v>
      </c>
      <c r="B159" s="67"/>
      <c r="C159" s="68"/>
      <c r="D159" s="69"/>
      <c r="E159" s="68"/>
      <c r="F159" s="70">
        <f>SUM(F9:F158)-F36</f>
        <v>1580.4378277931155</v>
      </c>
      <c r="G159" s="139">
        <f>SUM(G9:G158)</f>
        <v>2802.69741006</v>
      </c>
      <c r="H159" s="70">
        <f>SUM(H9:H158)</f>
        <v>5868.0012799099995</v>
      </c>
      <c r="I159" s="126">
        <f>SUM(I9:I158)</f>
        <v>6150.5864033400003</v>
      </c>
      <c r="J159" s="169">
        <f>SUM(J9:J158)</f>
        <v>4602.1784487899995</v>
      </c>
      <c r="K159" s="160"/>
    </row>
    <row r="160" spans="1:11" ht="15.75" thickBot="1" x14ac:dyDescent="0.3">
      <c r="A160" s="232" t="s">
        <v>321</v>
      </c>
      <c r="B160" s="233"/>
      <c r="C160" s="233"/>
      <c r="D160" s="233"/>
      <c r="E160" s="233"/>
      <c r="F160" s="233"/>
      <c r="G160" s="233"/>
      <c r="H160" s="233"/>
      <c r="I160" s="233"/>
      <c r="J160" s="234"/>
      <c r="K160" s="160"/>
    </row>
    <row r="161" spans="1:11" ht="25.5" x14ac:dyDescent="0.25">
      <c r="A161" s="111" t="s">
        <v>33</v>
      </c>
      <c r="B161" s="153" t="s">
        <v>91</v>
      </c>
      <c r="C161" s="153" t="s">
        <v>92</v>
      </c>
      <c r="D161" s="52">
        <f>0.96017138*K6</f>
        <v>1.0499474183232429</v>
      </c>
      <c r="E161" s="129" t="s">
        <v>77</v>
      </c>
      <c r="F161" s="155">
        <f>0.58667572*K6</f>
        <v>0.64152990855333525</v>
      </c>
      <c r="G161" s="52">
        <v>0</v>
      </c>
      <c r="H161" s="52">
        <f>6700456.1/1000000</f>
        <v>6.7004560999999994</v>
      </c>
      <c r="I161" s="79">
        <v>0</v>
      </c>
      <c r="J161" s="155">
        <v>0</v>
      </c>
      <c r="K161" s="160"/>
    </row>
    <row r="162" spans="1:11" ht="25.5" x14ac:dyDescent="0.25">
      <c r="A162" s="101" t="s">
        <v>36</v>
      </c>
      <c r="B162" s="153" t="s">
        <v>73</v>
      </c>
      <c r="C162" s="153" t="s">
        <v>74</v>
      </c>
      <c r="D162" s="78">
        <f>24.01892547*K6</f>
        <v>26.264695358994018</v>
      </c>
      <c r="E162" s="30" t="s">
        <v>70</v>
      </c>
      <c r="F162" s="155">
        <f>18.25801109*K6</f>
        <v>19.965135398706256</v>
      </c>
      <c r="G162" s="44">
        <v>0</v>
      </c>
      <c r="H162" s="44">
        <f>112161723.56/1000000</f>
        <v>112.16172356</v>
      </c>
      <c r="I162" s="79">
        <v>0</v>
      </c>
      <c r="J162" s="155">
        <v>0</v>
      </c>
    </row>
    <row r="163" spans="1:11" ht="25.5" x14ac:dyDescent="0.25">
      <c r="A163" s="111" t="s">
        <v>26</v>
      </c>
      <c r="B163" s="122" t="s">
        <v>101</v>
      </c>
      <c r="C163" s="122" t="s">
        <v>102</v>
      </c>
      <c r="D163" s="44">
        <f>1.50575459*K6</f>
        <v>1.6465426665798693</v>
      </c>
      <c r="E163" s="4" t="s">
        <v>70</v>
      </c>
      <c r="F163" s="155">
        <f>0.74601129*K6</f>
        <v>0.81576335672022637</v>
      </c>
      <c r="G163" s="53">
        <v>0</v>
      </c>
      <c r="H163" s="44">
        <f>8448765.01/1000000</f>
        <v>8.4487650099999989</v>
      </c>
      <c r="I163" s="79">
        <v>0</v>
      </c>
      <c r="J163" s="155">
        <v>0</v>
      </c>
    </row>
    <row r="164" spans="1:11" ht="25.5" x14ac:dyDescent="0.25">
      <c r="A164" s="95" t="s">
        <v>27</v>
      </c>
      <c r="B164" s="122" t="s">
        <v>110</v>
      </c>
      <c r="C164" s="122" t="s">
        <v>104</v>
      </c>
      <c r="D164" s="49">
        <f>30.62651271*K6</f>
        <v>33.490092104295471</v>
      </c>
      <c r="E164" s="4" t="s">
        <v>105</v>
      </c>
      <c r="F164" s="155">
        <f>43.42995075*K6</f>
        <v>47.490651791629205</v>
      </c>
      <c r="G164" s="53">
        <v>0</v>
      </c>
      <c r="H164" s="44">
        <f>238313103.72/1000000</f>
        <v>238.31310371999999</v>
      </c>
      <c r="I164" s="79">
        <v>0</v>
      </c>
      <c r="J164" s="155">
        <v>0</v>
      </c>
    </row>
    <row r="165" spans="1:11" ht="25.5" x14ac:dyDescent="0.25">
      <c r="A165" s="94" t="s">
        <v>37</v>
      </c>
      <c r="B165" s="122" t="s">
        <v>99</v>
      </c>
      <c r="C165" s="122" t="s">
        <v>100</v>
      </c>
      <c r="D165" s="49">
        <f>4.08414995*K6</f>
        <v>4.466018031122216</v>
      </c>
      <c r="E165" s="8" t="s">
        <v>77</v>
      </c>
      <c r="F165" s="155">
        <f>3.470193*K6</f>
        <v>3.7946560971577687</v>
      </c>
      <c r="G165" s="53">
        <v>0</v>
      </c>
      <c r="H165" s="44">
        <f>13328598.36/1000000</f>
        <v>13.328598359999999</v>
      </c>
      <c r="I165" s="79">
        <v>0</v>
      </c>
      <c r="J165" s="155">
        <v>0</v>
      </c>
    </row>
    <row r="166" spans="1:11" s="74" customFormat="1" ht="25.5" x14ac:dyDescent="0.25">
      <c r="A166" s="95" t="s">
        <v>46</v>
      </c>
      <c r="B166" s="122" t="s">
        <v>81</v>
      </c>
      <c r="C166" s="122" t="s">
        <v>84</v>
      </c>
      <c r="D166" s="44">
        <f>4.60162693*K6</f>
        <v>5.0318791164554497</v>
      </c>
      <c r="E166" s="8" t="s">
        <v>83</v>
      </c>
      <c r="F166" s="155">
        <f>4.79673309*K6</f>
        <v>5.2452277053198264</v>
      </c>
      <c r="G166" s="53">
        <v>0</v>
      </c>
      <c r="H166" s="44">
        <f>29257232.5/1000000</f>
        <v>29.257232500000001</v>
      </c>
      <c r="I166" s="79">
        <v>0</v>
      </c>
      <c r="J166" s="155">
        <v>0</v>
      </c>
      <c r="K166" s="93"/>
    </row>
    <row r="167" spans="1:11" ht="25.5" x14ac:dyDescent="0.25">
      <c r="A167" s="112" t="s">
        <v>41</v>
      </c>
      <c r="B167" s="5" t="s">
        <v>164</v>
      </c>
      <c r="C167" s="5" t="s">
        <v>165</v>
      </c>
      <c r="D167" s="44">
        <f>4.01395111*K6</f>
        <v>4.3892555985372264</v>
      </c>
      <c r="E167" s="8" t="s">
        <v>77</v>
      </c>
      <c r="F167" s="155">
        <f>0.08791873*K6</f>
        <v>9.6139132563770269E-2</v>
      </c>
      <c r="G167" s="53">
        <v>0</v>
      </c>
      <c r="H167" s="44">
        <f>1383395.62/1000000</f>
        <v>1.3833956200000002</v>
      </c>
      <c r="I167" s="79">
        <v>0</v>
      </c>
      <c r="J167" s="155">
        <v>0</v>
      </c>
    </row>
    <row r="168" spans="1:11" ht="25.5" x14ac:dyDescent="0.25">
      <c r="A168" s="94" t="s">
        <v>42</v>
      </c>
      <c r="B168" s="122" t="s">
        <v>140</v>
      </c>
      <c r="C168" s="122" t="s">
        <v>141</v>
      </c>
      <c r="D168" s="44">
        <v>24.9132155</v>
      </c>
      <c r="E168" s="8" t="s">
        <v>139</v>
      </c>
      <c r="F168" s="155">
        <v>30.620461989999999</v>
      </c>
      <c r="G168" s="53">
        <v>0</v>
      </c>
      <c r="H168" s="44">
        <f>38562168.66/1000000</f>
        <v>38.562168659999998</v>
      </c>
      <c r="I168" s="79">
        <v>0</v>
      </c>
      <c r="J168" s="155">
        <v>0</v>
      </c>
    </row>
    <row r="169" spans="1:11" x14ac:dyDescent="0.25">
      <c r="A169" s="113" t="s">
        <v>65</v>
      </c>
      <c r="B169" s="2"/>
      <c r="C169" s="2"/>
      <c r="D169" s="44"/>
      <c r="E169" s="3"/>
      <c r="F169" s="235">
        <f>4.67941208*K6</f>
        <v>5.1169371791383691</v>
      </c>
      <c r="G169" s="53">
        <v>0</v>
      </c>
      <c r="H169" s="44">
        <v>0</v>
      </c>
      <c r="I169" s="79">
        <v>0</v>
      </c>
      <c r="J169" s="155">
        <v>0</v>
      </c>
    </row>
    <row r="170" spans="1:11" x14ac:dyDescent="0.25">
      <c r="A170" s="113" t="s">
        <v>66</v>
      </c>
      <c r="B170" s="3"/>
      <c r="C170" s="2"/>
      <c r="D170" s="44"/>
      <c r="E170" s="3"/>
      <c r="F170" s="236"/>
      <c r="G170" s="53">
        <v>0</v>
      </c>
      <c r="H170" s="80">
        <f>25013182.06/1000000</f>
        <v>25.013182059999998</v>
      </c>
      <c r="I170" s="79">
        <v>0</v>
      </c>
      <c r="J170" s="155">
        <v>0</v>
      </c>
    </row>
    <row r="171" spans="1:11" ht="25.5" x14ac:dyDescent="0.25">
      <c r="A171" s="95" t="s">
        <v>28</v>
      </c>
      <c r="B171" s="122" t="s">
        <v>103</v>
      </c>
      <c r="C171" s="122" t="s">
        <v>104</v>
      </c>
      <c r="D171" s="49">
        <f>0.35271312*K6</f>
        <v>0.38569180197053587</v>
      </c>
      <c r="E171" s="4" t="s">
        <v>105</v>
      </c>
      <c r="F171" s="155">
        <f>0.44979077*K6</f>
        <v>0.49184621369064707</v>
      </c>
      <c r="G171" s="53">
        <v>0</v>
      </c>
      <c r="H171" s="44">
        <f>1051695.43/1000000</f>
        <v>1.0516954299999999</v>
      </c>
      <c r="I171" s="79">
        <v>0</v>
      </c>
      <c r="J171" s="155">
        <v>0</v>
      </c>
    </row>
    <row r="172" spans="1:11" ht="25.5" x14ac:dyDescent="0.25">
      <c r="A172" s="100" t="s">
        <v>29</v>
      </c>
      <c r="B172" s="122" t="s">
        <v>133</v>
      </c>
      <c r="C172" s="122" t="s">
        <v>134</v>
      </c>
      <c r="D172" s="49">
        <v>15</v>
      </c>
      <c r="E172" s="8" t="s">
        <v>132</v>
      </c>
      <c r="F172" s="155">
        <v>12.957203120000001</v>
      </c>
      <c r="G172" s="53">
        <v>0</v>
      </c>
      <c r="H172" s="44">
        <f>75437118.1/1000000</f>
        <v>75.437118099999992</v>
      </c>
      <c r="I172" s="79">
        <v>0</v>
      </c>
      <c r="J172" s="155">
        <v>0</v>
      </c>
    </row>
    <row r="173" spans="1:11" x14ac:dyDescent="0.25">
      <c r="A173" s="112" t="s">
        <v>40</v>
      </c>
      <c r="B173" s="2"/>
      <c r="C173" s="2"/>
      <c r="D173" s="44"/>
      <c r="E173" s="3"/>
      <c r="F173" s="155">
        <f>2.6988492*K6</f>
        <v>2.9511916403754395</v>
      </c>
      <c r="G173" s="53">
        <v>0</v>
      </c>
      <c r="H173" s="44">
        <f>12992338/1000000</f>
        <v>12.992338</v>
      </c>
      <c r="I173" s="79">
        <v>0</v>
      </c>
      <c r="J173" s="155">
        <v>0</v>
      </c>
    </row>
    <row r="174" spans="1:11" x14ac:dyDescent="0.25">
      <c r="A174" s="112" t="s">
        <v>48</v>
      </c>
      <c r="B174" s="2"/>
      <c r="C174" s="2"/>
      <c r="D174" s="49"/>
      <c r="E174" s="1"/>
      <c r="F174" s="155">
        <v>0</v>
      </c>
      <c r="G174" s="81">
        <v>0</v>
      </c>
      <c r="H174" s="52">
        <f>16060587.71/1000000</f>
        <v>16.06058771</v>
      </c>
      <c r="I174" s="79">
        <v>0</v>
      </c>
      <c r="J174" s="155">
        <v>0</v>
      </c>
    </row>
    <row r="175" spans="1:11" ht="42.75" x14ac:dyDescent="0.25">
      <c r="A175" s="114" t="s">
        <v>34</v>
      </c>
      <c r="B175" s="2"/>
      <c r="C175" s="1"/>
      <c r="D175" s="49"/>
      <c r="E175" s="1"/>
      <c r="F175" s="155">
        <f>0.7968216/K8</f>
        <v>3.3086738345182241E-2</v>
      </c>
      <c r="G175" s="81">
        <v>0</v>
      </c>
      <c r="H175" s="52">
        <f>160577.1/1000000</f>
        <v>0.1605771</v>
      </c>
      <c r="I175" s="79">
        <v>0</v>
      </c>
      <c r="J175" s="155">
        <v>0</v>
      </c>
    </row>
    <row r="176" spans="1:11" ht="28.5" x14ac:dyDescent="0.25">
      <c r="A176" s="115" t="s">
        <v>35</v>
      </c>
      <c r="B176" s="2"/>
      <c r="C176" s="1"/>
      <c r="D176" s="49"/>
      <c r="E176" s="1"/>
      <c r="F176" s="155">
        <f>1.79334043/K8</f>
        <v>7.4465583728210438E-2</v>
      </c>
      <c r="G176" s="81">
        <v>0</v>
      </c>
      <c r="H176" s="52">
        <f>289720.5/1000000</f>
        <v>0.28972049999999999</v>
      </c>
      <c r="I176" s="79">
        <v>0</v>
      </c>
      <c r="J176" s="155">
        <v>0</v>
      </c>
    </row>
    <row r="177" spans="1:10" ht="25.5" x14ac:dyDescent="0.25">
      <c r="A177" s="94" t="s">
        <v>0</v>
      </c>
      <c r="B177" s="14"/>
      <c r="C177" s="122" t="s">
        <v>131</v>
      </c>
      <c r="D177" s="44">
        <f>25.85424091*K6</f>
        <v>28.271612819954775</v>
      </c>
      <c r="E177" s="4" t="s">
        <v>105</v>
      </c>
      <c r="F177" s="40">
        <f>37.1701816*K6</f>
        <v>40.645594132920422</v>
      </c>
      <c r="G177" s="44">
        <v>0</v>
      </c>
      <c r="H177" s="44">
        <f>587849660.28/1000000</f>
        <v>587.84966027999997</v>
      </c>
      <c r="I177" s="44">
        <v>0</v>
      </c>
      <c r="J177" s="40">
        <v>0</v>
      </c>
    </row>
    <row r="178" spans="1:10" ht="25.5" x14ac:dyDescent="0.25">
      <c r="A178" s="100" t="s">
        <v>30</v>
      </c>
      <c r="B178" s="122" t="s">
        <v>145</v>
      </c>
      <c r="C178" s="122" t="s">
        <v>146</v>
      </c>
      <c r="D178" s="49">
        <f>1.26861793*K6</f>
        <v>1.3872337253398204</v>
      </c>
      <c r="E178" s="8" t="s">
        <v>77</v>
      </c>
      <c r="F178" s="155">
        <f>1.08091182*K6</f>
        <v>1.1819770912606016</v>
      </c>
      <c r="G178" s="81">
        <v>0</v>
      </c>
      <c r="H178" s="52">
        <f>647749.08/1000000</f>
        <v>0.64774907999999998</v>
      </c>
      <c r="I178" s="79">
        <v>0</v>
      </c>
      <c r="J178" s="155">
        <v>0</v>
      </c>
    </row>
    <row r="179" spans="1:10" ht="114" x14ac:dyDescent="0.25">
      <c r="A179" s="100" t="s">
        <v>38</v>
      </c>
      <c r="B179" s="122" t="s">
        <v>118</v>
      </c>
      <c r="C179" s="122" t="s">
        <v>119</v>
      </c>
      <c r="D179" s="44">
        <f>9.27658248*K6</f>
        <v>10.143943079972479</v>
      </c>
      <c r="E179" s="8" t="s">
        <v>77</v>
      </c>
      <c r="F179" s="155">
        <f>8.86304848*K6</f>
        <v>9.6917436448165546</v>
      </c>
      <c r="G179" s="52">
        <v>0</v>
      </c>
      <c r="H179" s="52">
        <f>22206089.62/1000000</f>
        <v>22.20608962</v>
      </c>
      <c r="I179" s="44">
        <v>0</v>
      </c>
      <c r="J179" s="40">
        <v>0</v>
      </c>
    </row>
    <row r="180" spans="1:10" ht="25.5" x14ac:dyDescent="0.25">
      <c r="A180" s="100" t="s">
        <v>31</v>
      </c>
      <c r="B180" s="122" t="s">
        <v>122</v>
      </c>
      <c r="C180" s="122" t="s">
        <v>123</v>
      </c>
      <c r="D180" s="44">
        <v>2.0579999999999998</v>
      </c>
      <c r="E180" s="8" t="s">
        <v>108</v>
      </c>
      <c r="F180" s="76">
        <f>2.05902565</f>
        <v>2.0590256500000002</v>
      </c>
      <c r="G180" s="44">
        <v>0</v>
      </c>
      <c r="H180" s="53">
        <f>13090935.92/1000000</f>
        <v>13.09093592</v>
      </c>
      <c r="I180" s="130">
        <v>0</v>
      </c>
      <c r="J180" s="76">
        <v>0</v>
      </c>
    </row>
    <row r="181" spans="1:10" ht="25.5" x14ac:dyDescent="0.25">
      <c r="A181" s="216" t="s">
        <v>17</v>
      </c>
      <c r="B181" s="2"/>
      <c r="C181" s="122" t="s">
        <v>162</v>
      </c>
      <c r="D181" s="39"/>
      <c r="E181" s="3"/>
      <c r="F181" s="40">
        <f>16.03330225*K6</f>
        <v>17.532416249048936</v>
      </c>
      <c r="G181" s="44">
        <v>0</v>
      </c>
      <c r="H181" s="197">
        <f>9697340.87/1000000</f>
        <v>9.6973408699999997</v>
      </c>
      <c r="I181" s="144">
        <v>0</v>
      </c>
      <c r="J181" s="40">
        <v>0</v>
      </c>
    </row>
    <row r="182" spans="1:10" ht="25.5" x14ac:dyDescent="0.25">
      <c r="A182" s="218"/>
      <c r="B182" s="2"/>
      <c r="C182" s="122" t="s">
        <v>163</v>
      </c>
      <c r="D182" s="39"/>
      <c r="E182" s="3"/>
      <c r="F182" s="40">
        <f>6.87613923/K8</f>
        <v>0.285520647944349</v>
      </c>
      <c r="G182" s="44">
        <v>0</v>
      </c>
      <c r="H182" s="198"/>
      <c r="I182" s="144">
        <v>0</v>
      </c>
      <c r="J182" s="40">
        <v>0</v>
      </c>
    </row>
    <row r="183" spans="1:10" ht="51" x14ac:dyDescent="0.25">
      <c r="A183" s="94" t="s">
        <v>2</v>
      </c>
      <c r="B183" s="122" t="s">
        <v>137</v>
      </c>
      <c r="C183" s="122" t="s">
        <v>138</v>
      </c>
      <c r="D183" s="44">
        <f>68.12651969*K6</f>
        <v>74.496350295155707</v>
      </c>
      <c r="E183" s="4" t="s">
        <v>105</v>
      </c>
      <c r="F183" s="40">
        <f>96.2540915*K6</f>
        <v>105.25385048810161</v>
      </c>
      <c r="G183" s="44">
        <v>0</v>
      </c>
      <c r="H183" s="44">
        <f>523288471.27/1000000</f>
        <v>523.28847126999995</v>
      </c>
      <c r="I183" s="144">
        <v>0</v>
      </c>
      <c r="J183" s="40">
        <v>0</v>
      </c>
    </row>
    <row r="184" spans="1:10" ht="76.5" x14ac:dyDescent="0.25">
      <c r="A184" s="94" t="s">
        <v>39</v>
      </c>
      <c r="B184" s="6" t="s">
        <v>156</v>
      </c>
      <c r="C184" s="6" t="s">
        <v>157</v>
      </c>
      <c r="D184" s="44">
        <f>50.54923979*K6</f>
        <v>55.27559446284792</v>
      </c>
      <c r="E184" s="4" t="s">
        <v>158</v>
      </c>
      <c r="F184" s="155">
        <f>35.37499117*K6</f>
        <v>38.682553370991968</v>
      </c>
      <c r="G184" s="52">
        <v>0</v>
      </c>
      <c r="H184" s="81">
        <f>(318422822.01+6368742.32)/1000000</f>
        <v>324.79156432999997</v>
      </c>
      <c r="I184" s="44">
        <v>0</v>
      </c>
      <c r="J184" s="40">
        <v>0</v>
      </c>
    </row>
    <row r="185" spans="1:10" ht="38.25" x14ac:dyDescent="0.25">
      <c r="A185" s="100" t="s">
        <v>32</v>
      </c>
      <c r="B185" s="7" t="s">
        <v>71</v>
      </c>
      <c r="C185" s="7" t="s">
        <v>205</v>
      </c>
      <c r="D185" s="44">
        <v>50</v>
      </c>
      <c r="E185" s="4" t="s">
        <v>72</v>
      </c>
      <c r="F185" s="76">
        <f>38787004.58/1000000</f>
        <v>38.787004580000001</v>
      </c>
      <c r="G185" s="44">
        <v>0</v>
      </c>
      <c r="H185" s="44">
        <f>199955474.61/1000000</f>
        <v>199.95547461000001</v>
      </c>
      <c r="I185" s="79">
        <v>0</v>
      </c>
      <c r="J185" s="155">
        <v>0</v>
      </c>
    </row>
    <row r="186" spans="1:10" ht="25.5" x14ac:dyDescent="0.25">
      <c r="A186" s="94" t="s">
        <v>47</v>
      </c>
      <c r="B186" s="15" t="s">
        <v>208</v>
      </c>
      <c r="C186" s="16" t="s">
        <v>275</v>
      </c>
      <c r="D186" s="41">
        <v>10.9</v>
      </c>
      <c r="E186" s="5" t="s">
        <v>126</v>
      </c>
      <c r="F186" s="40">
        <v>7.5999999999999998E-2</v>
      </c>
      <c r="G186" s="53">
        <v>0</v>
      </c>
      <c r="H186" s="53">
        <f>663159.05/1000000</f>
        <v>0.66315905000000008</v>
      </c>
      <c r="I186" s="79">
        <v>0</v>
      </c>
      <c r="J186" s="155">
        <v>0</v>
      </c>
    </row>
    <row r="187" spans="1:10" ht="25.5" x14ac:dyDescent="0.25">
      <c r="A187" s="116" t="s">
        <v>43</v>
      </c>
      <c r="B187" s="16" t="s">
        <v>276</v>
      </c>
      <c r="C187" s="16" t="s">
        <v>277</v>
      </c>
      <c r="D187" s="55">
        <v>2</v>
      </c>
      <c r="E187" s="5" t="s">
        <v>278</v>
      </c>
      <c r="F187" s="60">
        <v>0.38300000000000001</v>
      </c>
      <c r="G187" s="53">
        <v>0</v>
      </c>
      <c r="H187" s="53">
        <v>0</v>
      </c>
      <c r="I187" s="79">
        <v>0</v>
      </c>
      <c r="J187" s="155">
        <v>0</v>
      </c>
    </row>
    <row r="188" spans="1:10" ht="25.5" x14ac:dyDescent="0.25">
      <c r="A188" s="117" t="s">
        <v>44</v>
      </c>
      <c r="B188" s="122" t="s">
        <v>124</v>
      </c>
      <c r="C188" s="122" t="s">
        <v>125</v>
      </c>
      <c r="D188" s="44">
        <v>4.5999999999999996</v>
      </c>
      <c r="E188" s="4" t="s">
        <v>126</v>
      </c>
      <c r="F188" s="40">
        <v>9.5256699900000008</v>
      </c>
      <c r="G188" s="83">
        <v>0</v>
      </c>
      <c r="H188" s="44">
        <f>35489606.96/1000000</f>
        <v>35.489606960000003</v>
      </c>
      <c r="I188" s="44">
        <v>0</v>
      </c>
      <c r="J188" s="40">
        <v>0</v>
      </c>
    </row>
    <row r="189" spans="1:10" ht="89.25" x14ac:dyDescent="0.25">
      <c r="A189" s="100" t="s">
        <v>303</v>
      </c>
      <c r="B189" s="16" t="s">
        <v>214</v>
      </c>
      <c r="C189" s="16" t="s">
        <v>215</v>
      </c>
      <c r="D189" s="84">
        <v>1.4562987000000001</v>
      </c>
      <c r="E189" s="6" t="s">
        <v>216</v>
      </c>
      <c r="F189" s="42">
        <v>4.0000000000000001E-3</v>
      </c>
      <c r="G189" s="85">
        <v>0</v>
      </c>
      <c r="H189" s="44">
        <f>8878.92/1000000</f>
        <v>8.8789200000000002E-3</v>
      </c>
      <c r="I189" s="44">
        <v>0</v>
      </c>
      <c r="J189" s="40">
        <v>0</v>
      </c>
    </row>
    <row r="190" spans="1:10" ht="25.5" x14ac:dyDescent="0.25">
      <c r="A190" s="107" t="s">
        <v>24</v>
      </c>
      <c r="B190" s="15" t="s">
        <v>208</v>
      </c>
      <c r="C190" s="16" t="s">
        <v>209</v>
      </c>
      <c r="D190" s="39">
        <v>5.44</v>
      </c>
      <c r="E190" s="4" t="s">
        <v>126</v>
      </c>
      <c r="F190" s="40">
        <v>9.9779999999999998</v>
      </c>
      <c r="G190" s="44">
        <v>0</v>
      </c>
      <c r="H190" s="44">
        <f>11547055/1000000</f>
        <v>11.547055</v>
      </c>
      <c r="I190" s="144">
        <v>0</v>
      </c>
      <c r="J190" s="40">
        <v>0</v>
      </c>
    </row>
    <row r="191" spans="1:10" ht="44.25" x14ac:dyDescent="0.25">
      <c r="A191" s="100" t="s">
        <v>316</v>
      </c>
      <c r="B191" s="122" t="s">
        <v>87</v>
      </c>
      <c r="C191" s="122" t="s">
        <v>88</v>
      </c>
      <c r="D191" s="44">
        <f>4.04310139*K6</f>
        <v>4.4211314301511617</v>
      </c>
      <c r="E191" s="8" t="s">
        <v>77</v>
      </c>
      <c r="F191" s="148">
        <f>3.64389715*K6</f>
        <v>3.9846015877685526</v>
      </c>
      <c r="G191" s="45">
        <v>0</v>
      </c>
      <c r="H191" s="44">
        <f>20153250.29/1000000</f>
        <v>20.153250289999999</v>
      </c>
      <c r="I191" s="39">
        <v>0</v>
      </c>
      <c r="J191" s="148">
        <v>0</v>
      </c>
    </row>
    <row r="192" spans="1:10" ht="103.5" x14ac:dyDescent="0.25">
      <c r="A192" s="100" t="s">
        <v>297</v>
      </c>
      <c r="B192" s="199" t="s">
        <v>81</v>
      </c>
      <c r="C192" s="199" t="s">
        <v>82</v>
      </c>
      <c r="D192" s="201">
        <f>1.2782297*K6</f>
        <v>1.3977441959779027</v>
      </c>
      <c r="E192" s="203" t="s">
        <v>83</v>
      </c>
      <c r="F192" s="213">
        <f>1.35346146*K6</f>
        <v>1.4800101266578127</v>
      </c>
      <c r="G192" s="53">
        <v>0</v>
      </c>
      <c r="H192" s="44">
        <f>13786427.66/1000000</f>
        <v>13.786427659999999</v>
      </c>
      <c r="I192" s="39">
        <v>0</v>
      </c>
      <c r="J192" s="40">
        <v>0</v>
      </c>
    </row>
    <row r="193" spans="1:10" ht="103.5" x14ac:dyDescent="0.25">
      <c r="A193" s="111" t="s">
        <v>319</v>
      </c>
      <c r="B193" s="200"/>
      <c r="C193" s="200"/>
      <c r="D193" s="202"/>
      <c r="E193" s="204"/>
      <c r="F193" s="215"/>
      <c r="G193" s="81">
        <v>0</v>
      </c>
      <c r="H193" s="52">
        <f>14402241.08/1000000</f>
        <v>14.40224108</v>
      </c>
      <c r="I193" s="146">
        <v>0</v>
      </c>
      <c r="J193" s="148">
        <v>0</v>
      </c>
    </row>
    <row r="194" spans="1:10" ht="44.25" x14ac:dyDescent="0.25">
      <c r="A194" s="100" t="s">
        <v>315</v>
      </c>
      <c r="B194" s="226"/>
      <c r="C194" s="226"/>
      <c r="D194" s="229"/>
      <c r="E194" s="226"/>
      <c r="F194" s="221">
        <f>8.05722071/K8</f>
        <v>0.33456316121595281</v>
      </c>
      <c r="G194" s="44">
        <v>0</v>
      </c>
      <c r="H194" s="44">
        <f>3105593.02/1000000</f>
        <v>3.1055930200000001</v>
      </c>
      <c r="I194" s="201">
        <v>0</v>
      </c>
      <c r="J194" s="213">
        <v>0</v>
      </c>
    </row>
    <row r="195" spans="1:10" ht="44.25" x14ac:dyDescent="0.25">
      <c r="A195" s="100" t="s">
        <v>298</v>
      </c>
      <c r="B195" s="227"/>
      <c r="C195" s="227"/>
      <c r="D195" s="230"/>
      <c r="E195" s="227"/>
      <c r="F195" s="222"/>
      <c r="G195" s="44">
        <v>0</v>
      </c>
      <c r="H195" s="44">
        <f>3231489.18/1000000</f>
        <v>3.2314891800000001</v>
      </c>
      <c r="I195" s="219"/>
      <c r="J195" s="214"/>
    </row>
    <row r="196" spans="1:10" ht="58.5" x14ac:dyDescent="0.25">
      <c r="A196" s="100" t="s">
        <v>299</v>
      </c>
      <c r="B196" s="227"/>
      <c r="C196" s="227"/>
      <c r="D196" s="230"/>
      <c r="E196" s="227"/>
      <c r="F196" s="222"/>
      <c r="G196" s="44">
        <v>0</v>
      </c>
      <c r="H196" s="44">
        <f>3149171.34/1000000</f>
        <v>3.1491713399999997</v>
      </c>
      <c r="I196" s="219"/>
      <c r="J196" s="214"/>
    </row>
    <row r="197" spans="1:10" ht="72.75" x14ac:dyDescent="0.25">
      <c r="A197" s="118" t="s">
        <v>314</v>
      </c>
      <c r="B197" s="228"/>
      <c r="C197" s="228"/>
      <c r="D197" s="231"/>
      <c r="E197" s="228"/>
      <c r="F197" s="223"/>
      <c r="G197" s="52">
        <v>0</v>
      </c>
      <c r="H197" s="52">
        <f>2224878.48/1000000</f>
        <v>2.2248784800000001</v>
      </c>
      <c r="I197" s="202"/>
      <c r="J197" s="215"/>
    </row>
    <row r="198" spans="1:10" ht="60" x14ac:dyDescent="0.25">
      <c r="A198" s="100" t="s">
        <v>300</v>
      </c>
      <c r="B198" s="122" t="s">
        <v>93</v>
      </c>
      <c r="C198" s="122" t="s">
        <v>94</v>
      </c>
      <c r="D198" s="39">
        <f>2.77353707*K6</f>
        <v>3.0328628273322535</v>
      </c>
      <c r="E198" s="8" t="s">
        <v>77</v>
      </c>
      <c r="F198" s="148">
        <f>2.28872099*K6</f>
        <v>2.5027164366352141</v>
      </c>
      <c r="G198" s="52">
        <v>0</v>
      </c>
      <c r="H198" s="52">
        <f>7018311.34/1000000</f>
        <v>7.0183113399999995</v>
      </c>
      <c r="I198" s="39">
        <v>0</v>
      </c>
      <c r="J198" s="148">
        <v>0</v>
      </c>
    </row>
    <row r="199" spans="1:10" ht="60" thickBot="1" x14ac:dyDescent="0.3">
      <c r="A199" s="95" t="s">
        <v>301</v>
      </c>
      <c r="B199" s="152" t="s">
        <v>75</v>
      </c>
      <c r="C199" s="152" t="s">
        <v>76</v>
      </c>
      <c r="D199" s="145">
        <f>4.09479198*K6</f>
        <v>4.4776550910856354</v>
      </c>
      <c r="E199" s="28" t="s">
        <v>77</v>
      </c>
      <c r="F199" s="40">
        <f>3.99062006*K6</f>
        <v>4.3637430950149172</v>
      </c>
      <c r="G199" s="78">
        <v>0</v>
      </c>
      <c r="H199" s="78">
        <f>9021661.38/1000000</f>
        <v>9.0216613800000012</v>
      </c>
      <c r="I199" s="145">
        <v>0</v>
      </c>
      <c r="J199" s="40">
        <v>0</v>
      </c>
    </row>
    <row r="200" spans="1:10" ht="15.75" thickBot="1" x14ac:dyDescent="0.3">
      <c r="A200" s="168" t="s">
        <v>322</v>
      </c>
      <c r="B200" s="67"/>
      <c r="C200" s="86"/>
      <c r="D200" s="69"/>
      <c r="E200" s="86"/>
      <c r="F200" s="71">
        <f>SUM(F161:F191)</f>
        <v>408.36525328878122</v>
      </c>
      <c r="G200" s="71"/>
      <c r="H200" s="71"/>
      <c r="I200" s="71">
        <f>SUM(I161:I197)</f>
        <v>0</v>
      </c>
      <c r="J200" s="71">
        <f>SUM(J161:J197)</f>
        <v>0</v>
      </c>
    </row>
    <row r="201" spans="1:10" x14ac:dyDescent="0.25">
      <c r="A201" s="170" t="s">
        <v>323</v>
      </c>
      <c r="B201" s="171"/>
      <c r="C201" s="172"/>
      <c r="D201" s="173"/>
      <c r="E201" s="172"/>
      <c r="F201" s="174">
        <f>F200+F159</f>
        <v>1988.8030810818968</v>
      </c>
      <c r="G201" s="173"/>
      <c r="H201" s="172"/>
      <c r="I201" s="175">
        <f>I200+I159</f>
        <v>6150.5864033400003</v>
      </c>
      <c r="J201" s="175">
        <f>J200+J159</f>
        <v>4602.1784487899995</v>
      </c>
    </row>
    <row r="202" spans="1:10" x14ac:dyDescent="0.25">
      <c r="I202" s="87"/>
      <c r="J202" s="88"/>
    </row>
    <row r="203" spans="1:10" x14ac:dyDescent="0.25">
      <c r="A203" s="90"/>
      <c r="B203" s="89"/>
      <c r="C203" s="89"/>
      <c r="D203" s="89"/>
      <c r="E203" s="89"/>
      <c r="F203" s="90"/>
      <c r="G203" s="89"/>
      <c r="H203" s="89"/>
      <c r="I203" s="91"/>
      <c r="J203" s="92"/>
    </row>
    <row r="204" spans="1:10" x14ac:dyDescent="0.25">
      <c r="A204" s="72"/>
      <c r="B204" s="72"/>
      <c r="C204" s="72"/>
      <c r="D204" s="74"/>
      <c r="E204" s="74"/>
      <c r="F204" s="72"/>
      <c r="G204" s="74"/>
      <c r="H204" s="93"/>
      <c r="I204" s="74"/>
      <c r="J204" s="72"/>
    </row>
    <row r="205" spans="1:10" x14ac:dyDescent="0.25">
      <c r="C205" s="33"/>
      <c r="D205" s="33"/>
    </row>
    <row r="206" spans="1:10" x14ac:dyDescent="0.25">
      <c r="C206" s="33"/>
    </row>
    <row r="207" spans="1:10" x14ac:dyDescent="0.25">
      <c r="C207" s="33"/>
    </row>
  </sheetData>
  <mergeCells count="77">
    <mergeCell ref="B194:B197"/>
    <mergeCell ref="A160:J160"/>
    <mergeCell ref="A150:A157"/>
    <mergeCell ref="I194:I197"/>
    <mergeCell ref="J194:J197"/>
    <mergeCell ref="F192:F193"/>
    <mergeCell ref="F169:F170"/>
    <mergeCell ref="H181:H182"/>
    <mergeCell ref="A181:A182"/>
    <mergeCell ref="C194:C197"/>
    <mergeCell ref="D194:D197"/>
    <mergeCell ref="E194:E197"/>
    <mergeCell ref="J97:J98"/>
    <mergeCell ref="J137:J138"/>
    <mergeCell ref="J135:J136"/>
    <mergeCell ref="I97:I98"/>
    <mergeCell ref="I135:I136"/>
    <mergeCell ref="I137:I138"/>
    <mergeCell ref="E6:E7"/>
    <mergeCell ref="F52:F53"/>
    <mergeCell ref="H40:H41"/>
    <mergeCell ref="H42:H43"/>
    <mergeCell ref="F194:F197"/>
    <mergeCell ref="D52:D53"/>
    <mergeCell ref="E52:E53"/>
    <mergeCell ref="A55:A58"/>
    <mergeCell ref="D20:D23"/>
    <mergeCell ref="E20:E23"/>
    <mergeCell ref="A27:A29"/>
    <mergeCell ref="A40:A44"/>
    <mergeCell ref="B52:B53"/>
    <mergeCell ref="C52:C53"/>
    <mergeCell ref="B36:C36"/>
    <mergeCell ref="A2:J2"/>
    <mergeCell ref="A3:J3"/>
    <mergeCell ref="H21:H23"/>
    <mergeCell ref="B20:B23"/>
    <mergeCell ref="C20:C23"/>
    <mergeCell ref="I6:J6"/>
    <mergeCell ref="G6:H6"/>
    <mergeCell ref="D6:D7"/>
    <mergeCell ref="F6:F7"/>
    <mergeCell ref="B6:B7"/>
    <mergeCell ref="I20:I23"/>
    <mergeCell ref="J20:J23"/>
    <mergeCell ref="G21:G23"/>
    <mergeCell ref="F20:F23"/>
    <mergeCell ref="A6:A7"/>
    <mergeCell ref="C6:C7"/>
    <mergeCell ref="B192:B193"/>
    <mergeCell ref="C192:C193"/>
    <mergeCell ref="D192:D193"/>
    <mergeCell ref="E192:E193"/>
    <mergeCell ref="A83:A84"/>
    <mergeCell ref="A101:A102"/>
    <mergeCell ref="A144:A147"/>
    <mergeCell ref="H55:H56"/>
    <mergeCell ref="A104:A105"/>
    <mergeCell ref="A106:A107"/>
    <mergeCell ref="A108:A109"/>
    <mergeCell ref="A110:A111"/>
    <mergeCell ref="A135:A136"/>
    <mergeCell ref="A137:A138"/>
    <mergeCell ref="A139:A142"/>
    <mergeCell ref="A97:A98"/>
    <mergeCell ref="A125:A126"/>
    <mergeCell ref="A127:A128"/>
    <mergeCell ref="A99:A100"/>
    <mergeCell ref="A130:A131"/>
    <mergeCell ref="A112:A113"/>
    <mergeCell ref="A114:A115"/>
    <mergeCell ref="A116:A117"/>
    <mergeCell ref="A118:A119"/>
    <mergeCell ref="A121:A122"/>
    <mergeCell ref="A123:A124"/>
    <mergeCell ref="E83:E84"/>
    <mergeCell ref="B83:B84"/>
  </mergeCells>
  <printOptions horizontalCentered="1"/>
  <pageMargins left="0.39370078740157483" right="0.39370078740157483" top="0.39370078740157483" bottom="0.39370078740157483" header="0" footer="7.874015748031496E-2"/>
  <pageSetup paperSize="9" scale="56" fitToHeight="7" orientation="landscape" r:id="rId1"/>
  <headerFooter>
    <oddHeader>&amp;R&amp;7&amp;P</oddHeader>
    <oddFooter>&amp;C&amp;6&amp;F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BBFEF8-1DA9-4AB4-A8B9-D6FCD8C14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40C4F5-EB46-47CD-877A-41847200E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007C60-9735-4731-AFD2-F23CB75545A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9AC1D13-B07B-472A-8C6F-E4156A26A88E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acedc1b3-a6a6-4744-bb8f-c9b717f8a9c9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на 01.10.2019</vt:lpstr>
      <vt:lpstr>'на 01.10.2019'!Заголовки_для_друку</vt:lpstr>
      <vt:lpstr>'на 01.10.2019'!Область_друку</vt:lpstr>
    </vt:vector>
  </TitlesOfParts>
  <Company>DKU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j_klymchuk</dc:creator>
  <cp:lastModifiedBy>Тепла Олена Миколаївна</cp:lastModifiedBy>
  <cp:lastPrinted>2019-12-10T09:05:57Z</cp:lastPrinted>
  <dcterms:created xsi:type="dcterms:W3CDTF">2016-02-25T14:42:35Z</dcterms:created>
  <dcterms:modified xsi:type="dcterms:W3CDTF">2019-12-10T09:06:02Z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ac3a6439-feea-4c4f-a1a1-e8555ca31386</vt:lpwstr>
  </property>
  <property fmtid="{D5CDD505-2E9C-101B-9397-08002B2CF9AE}" pid="4" name="_dlc_DocId">
    <vt:lpwstr>MFWF-347-116189</vt:lpwstr>
  </property>
  <property fmtid="{D5CDD505-2E9C-101B-9397-08002B2CF9AE}" pid="5" name="_dlc_DocIdUrl">
    <vt:lpwstr>http://workflow/12000/12100/12130/_layouts/DocIdRedir.aspx?ID=MFWF-347-116189, MFWF-347-116189</vt:lpwstr>
  </property>
</Properties>
</file>