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18555" windowHeight="11505"/>
  </bookViews>
  <sheets>
    <sheet name="на 01.07.2017" sheetId="2" r:id="rId1"/>
  </sheets>
  <definedNames>
    <definedName name="_xlnm.Print_Titles" localSheetId="0">'на 01.07.2017'!$8:$10</definedName>
    <definedName name="_xlnm.Print_Area" localSheetId="0">'на 01.07.2017'!$A$4:$J$181</definedName>
  </definedNames>
  <calcPr calcId="145621"/>
</workbook>
</file>

<file path=xl/calcChain.xml><?xml version="1.0" encoding="utf-8"?>
<calcChain xmlns="http://schemas.openxmlformats.org/spreadsheetml/2006/main">
  <c r="H54" i="2" l="1"/>
  <c r="H22" i="2"/>
  <c r="J99" i="2" l="1"/>
  <c r="J91" i="2"/>
  <c r="J96" i="2"/>
  <c r="J94" i="2"/>
  <c r="J17" i="2"/>
  <c r="J41" i="2"/>
  <c r="G114" i="2" l="1"/>
  <c r="G62" i="2"/>
  <c r="G65" i="2"/>
  <c r="G67" i="2"/>
  <c r="G71" i="2"/>
  <c r="G66" i="2"/>
  <c r="G64" i="2"/>
  <c r="G63" i="2"/>
  <c r="G68" i="2"/>
  <c r="G70" i="2"/>
  <c r="G75" i="2"/>
  <c r="G73" i="2"/>
  <c r="G72" i="2"/>
  <c r="G17" i="2"/>
  <c r="G36" i="2"/>
  <c r="G27" i="2"/>
  <c r="G25" i="2"/>
  <c r="L11" i="2"/>
  <c r="L8" i="2"/>
  <c r="F54" i="2" l="1"/>
  <c r="J108" i="2"/>
  <c r="J119" i="2"/>
  <c r="J114" i="2"/>
  <c r="J88" i="2"/>
  <c r="J120" i="2"/>
  <c r="J100" i="2"/>
  <c r="J54" i="2"/>
  <c r="G86" i="2" l="1"/>
  <c r="J106" i="2" l="1"/>
  <c r="J103" i="2"/>
  <c r="J98" i="2"/>
  <c r="J101" i="2"/>
  <c r="J84" i="2"/>
  <c r="J93" i="2"/>
  <c r="H25" i="2"/>
  <c r="F36" i="2"/>
  <c r="F37" i="2" l="1"/>
  <c r="G79" i="2" l="1"/>
  <c r="F62" i="2"/>
  <c r="J109" i="2" l="1"/>
  <c r="J107" i="2"/>
  <c r="J97" i="2"/>
  <c r="J87" i="2"/>
  <c r="J40" i="2"/>
  <c r="I40" i="2"/>
  <c r="J105" i="2" l="1"/>
  <c r="J117" i="2"/>
  <c r="J116" i="2"/>
  <c r="J112" i="2"/>
  <c r="J111" i="2"/>
  <c r="H131" i="2" l="1"/>
  <c r="H121" i="2" l="1"/>
  <c r="G85" i="2"/>
  <c r="F146" i="2" l="1"/>
  <c r="F147" i="2"/>
  <c r="F152" i="2"/>
  <c r="F150" i="2"/>
  <c r="F153" i="2"/>
  <c r="F148" i="2"/>
  <c r="F149" i="2"/>
  <c r="F65" i="2"/>
  <c r="F69" i="2"/>
  <c r="F64" i="2"/>
  <c r="F68" i="2"/>
  <c r="F75" i="2"/>
  <c r="F74" i="2"/>
  <c r="I148" i="2" l="1"/>
  <c r="I93" i="2"/>
  <c r="I92" i="2"/>
  <c r="I91" i="2"/>
  <c r="I88" i="2"/>
  <c r="I87" i="2"/>
  <c r="I67" i="2"/>
  <c r="I17" i="2"/>
  <c r="F27" i="2" l="1"/>
  <c r="I124" i="2"/>
  <c r="H53" i="2"/>
  <c r="G81" i="2" l="1"/>
  <c r="G80" i="2"/>
  <c r="I169" i="2" l="1"/>
  <c r="H156" i="2" l="1"/>
  <c r="H84" i="2"/>
  <c r="J124" i="2" l="1"/>
  <c r="H159" i="2"/>
  <c r="H83" i="2"/>
  <c r="D151" i="2" l="1"/>
  <c r="F151" i="2"/>
  <c r="D152" i="2"/>
  <c r="G152" i="2"/>
  <c r="D154" i="2"/>
  <c r="F154" i="2"/>
  <c r="G150" i="2"/>
  <c r="D150" i="2"/>
  <c r="G153" i="2"/>
  <c r="D153" i="2"/>
  <c r="G146" i="2"/>
  <c r="D146" i="2"/>
  <c r="D147" i="2"/>
  <c r="G147" i="2"/>
  <c r="D149" i="2"/>
  <c r="G149" i="2"/>
  <c r="J169" i="2"/>
  <c r="J170" i="2" s="1"/>
  <c r="G148" i="2"/>
  <c r="G69" i="2"/>
  <c r="F67" i="2"/>
  <c r="F70" i="2"/>
  <c r="G74" i="2"/>
  <c r="F73" i="2"/>
  <c r="F72" i="2"/>
  <c r="F71" i="2"/>
  <c r="F63" i="2"/>
  <c r="H42" i="2" l="1"/>
  <c r="D36" i="2"/>
  <c r="H19" i="2"/>
  <c r="F35" i="2"/>
  <c r="H35" i="2"/>
  <c r="D26" i="2"/>
  <c r="F26" i="2"/>
  <c r="H12" i="2"/>
  <c r="F57" i="2"/>
  <c r="H56" i="2"/>
  <c r="H45" i="2"/>
  <c r="H43" i="2"/>
  <c r="D62" i="2"/>
  <c r="H59" i="2"/>
  <c r="H58" i="2" l="1"/>
  <c r="H32" i="2"/>
  <c r="D31" i="2"/>
  <c r="H76" i="2"/>
  <c r="H78" i="2"/>
  <c r="H33" i="2"/>
  <c r="D48" i="2"/>
  <c r="H48" i="2"/>
  <c r="H158" i="2"/>
  <c r="F144" i="2"/>
  <c r="F50" i="2"/>
  <c r="H50" i="2"/>
  <c r="D14" i="2"/>
  <c r="H145" i="2"/>
  <c r="H144" i="2"/>
  <c r="H142" i="2"/>
  <c r="H137" i="2"/>
  <c r="H133" i="2"/>
  <c r="H132" i="2"/>
  <c r="H143" i="2"/>
  <c r="H28" i="2"/>
  <c r="D77" i="2"/>
  <c r="F77" i="2"/>
  <c r="G77" i="2"/>
  <c r="F141" i="2"/>
  <c r="H141" i="2"/>
  <c r="H140" i="2"/>
  <c r="F140" i="2"/>
  <c r="H139" i="2"/>
  <c r="H27" i="2" l="1"/>
  <c r="H136" i="2" l="1"/>
  <c r="H129" i="2"/>
  <c r="H128" i="2"/>
  <c r="H130" i="2"/>
  <c r="H126" i="2"/>
  <c r="H39" i="2"/>
  <c r="H160" i="2"/>
  <c r="H162" i="2"/>
  <c r="H161" i="2"/>
  <c r="H51" i="2"/>
  <c r="H52" i="2"/>
  <c r="H38" i="2"/>
  <c r="H167" i="2"/>
  <c r="H168" i="2"/>
  <c r="H127" i="2"/>
  <c r="F155" i="2"/>
  <c r="H155" i="2"/>
  <c r="I170" i="2"/>
  <c r="H166" i="2" l="1"/>
  <c r="H165" i="2"/>
  <c r="H164" i="2"/>
  <c r="H163" i="2"/>
  <c r="F163" i="2"/>
  <c r="H31" i="2" l="1"/>
  <c r="H26" i="2"/>
  <c r="H21" i="2"/>
  <c r="H20" i="2"/>
  <c r="H18" i="2"/>
  <c r="H16" i="2"/>
  <c r="H15" i="2"/>
  <c r="H14" i="2"/>
  <c r="H135" i="2"/>
  <c r="H55" i="2"/>
  <c r="H138" i="2"/>
  <c r="H13" i="2"/>
  <c r="H11" i="2"/>
  <c r="D76" i="2" l="1"/>
  <c r="F76" i="2"/>
  <c r="D34" i="2"/>
  <c r="D122" i="2"/>
  <c r="D54" i="2"/>
  <c r="D12" i="2"/>
  <c r="D45" i="2"/>
  <c r="F56" i="2"/>
  <c r="D132" i="2"/>
  <c r="F145" i="2"/>
  <c r="D42" i="2"/>
  <c r="F132" i="2"/>
  <c r="D46" i="2"/>
  <c r="D145" i="2"/>
  <c r="F42" i="2"/>
  <c r="D142" i="2"/>
  <c r="F142" i="2"/>
  <c r="F46" i="2"/>
  <c r="F45" i="2"/>
  <c r="D58" i="2"/>
  <c r="D78" i="2"/>
  <c r="F33" i="2"/>
  <c r="F143" i="2"/>
  <c r="F58" i="2"/>
  <c r="F78" i="2"/>
  <c r="D143" i="2"/>
  <c r="F14" i="2"/>
  <c r="D33" i="2"/>
  <c r="D27" i="2"/>
  <c r="D129" i="2"/>
  <c r="F129" i="2"/>
  <c r="F21" i="2"/>
  <c r="D128" i="2"/>
  <c r="F130" i="2"/>
  <c r="D167" i="2"/>
  <c r="D160" i="2"/>
  <c r="D136" i="2"/>
  <c r="F128" i="2"/>
  <c r="D130" i="2"/>
  <c r="F53" i="2"/>
  <c r="D126" i="2"/>
  <c r="D39" i="2"/>
  <c r="F136" i="2"/>
  <c r="D53" i="2"/>
  <c r="F39" i="2"/>
  <c r="D21" i="2"/>
  <c r="F167" i="2"/>
  <c r="F126" i="2"/>
  <c r="F160" i="2"/>
  <c r="F55" i="2"/>
  <c r="F11" i="2"/>
  <c r="D11" i="2"/>
  <c r="F138" i="2"/>
  <c r="F20" i="2"/>
  <c r="F131" i="2"/>
  <c r="F38" i="2"/>
  <c r="F161" i="2"/>
  <c r="D168" i="2"/>
  <c r="F127" i="2"/>
  <c r="D161" i="2"/>
  <c r="F18" i="2"/>
  <c r="D18" i="2"/>
  <c r="D20" i="2"/>
  <c r="F51" i="2"/>
  <c r="D51" i="2"/>
  <c r="F168" i="2"/>
  <c r="D127" i="2"/>
  <c r="D131" i="2"/>
  <c r="D38" i="2"/>
  <c r="F134" i="2"/>
  <c r="D55" i="2"/>
  <c r="F124" i="2" l="1"/>
  <c r="F169" i="2"/>
  <c r="F170" i="2" l="1"/>
</calcChain>
</file>

<file path=xl/sharedStrings.xml><?xml version="1.0" encoding="utf-8"?>
<sst xmlns="http://schemas.openxmlformats.org/spreadsheetml/2006/main" count="436" uniqueCount="362">
  <si>
    <t>ВАТ "Макіївський металургійний комбінат"</t>
  </si>
  <si>
    <t xml:space="preserve">ХК "Реле та автоматика" </t>
  </si>
  <si>
    <t>УО "Укрфармація"</t>
  </si>
  <si>
    <t>УЗТФ "Біомед"</t>
  </si>
  <si>
    <t xml:space="preserve">ДАК "Хліб України" </t>
  </si>
  <si>
    <t>ДП "Агентство з реструктуризації заборгованості підприємств агропромислового комплексу"</t>
  </si>
  <si>
    <t>ВАТ "Оріана"</t>
  </si>
  <si>
    <t>ВАТ "Текстерно"</t>
  </si>
  <si>
    <t>ВАТ "Херсонський бавовняний комбінат"</t>
  </si>
  <si>
    <t>ВАТ "ЗАлК"</t>
  </si>
  <si>
    <t>АТ "Чексіл"</t>
  </si>
  <si>
    <t>Національна телекомпанія України</t>
  </si>
  <si>
    <t>АХК "Укрнафтопродукт"</t>
  </si>
  <si>
    <t>ВАТ "Харківський тракторний завод"</t>
  </si>
  <si>
    <t>Корпорація "Украгропромбіржа"</t>
  </si>
  <si>
    <t>Асоціація "Земля і люди"</t>
  </si>
  <si>
    <t>Українська аграрна біржа</t>
  </si>
  <si>
    <t>Концерн "Украгротехсервіс"</t>
  </si>
  <si>
    <t>Агрофірма "Зоря"</t>
  </si>
  <si>
    <t>НВДАФ "Наукова"</t>
  </si>
  <si>
    <t>ТОВ "Кріогенні технології"</t>
  </si>
  <si>
    <t>ВАТ "Кіцманське РТП" с/г техн. (Південмаш)</t>
  </si>
  <si>
    <t>Державне агантство резерву України</t>
  </si>
  <si>
    <t>Київський авіаційний завод "Авіант" (ДП "Антонов")</t>
  </si>
  <si>
    <t>Харківське державне авіаційне виробниче підприємство</t>
  </si>
  <si>
    <t>ВАТ "Лисичанськвугілля"</t>
  </si>
  <si>
    <t>ДП "ДБУНП "Повітряний експрес"</t>
  </si>
  <si>
    <t>ЗАТ "Ворскла"</t>
  </si>
  <si>
    <t>КП "Водопостачання м. Вознесенська"</t>
  </si>
  <si>
    <t>АТ "Стальметиз"</t>
  </si>
  <si>
    <t xml:space="preserve">АТ "Епос - Холдінг" </t>
  </si>
  <si>
    <t>ЗАТ “Сумикамволь”</t>
  </si>
  <si>
    <t>КП "Фірма Маріам - А"</t>
  </si>
  <si>
    <t>ПФ "Софія Київська"</t>
  </si>
  <si>
    <t>СП "Ратай"</t>
  </si>
  <si>
    <t>Фірма “Атон”, Транснаціональна корпорація "Атон"</t>
  </si>
  <si>
    <t>Агрофірма "Славутич"</t>
  </si>
  <si>
    <t>ТОВ "Харківська Регіональна Лізінгова компанія"  с/г техн. (Південмаш)</t>
  </si>
  <si>
    <t>ТОВ "Харківська Регіональна Лізінгова компанія" с/г техн.(ХТЗ)</t>
  </si>
  <si>
    <t>АТ "Сілур"</t>
  </si>
  <si>
    <t>ВАТ "Львівагрореммашпостач"</t>
  </si>
  <si>
    <t>СП "Дако", ВСП Агрофірма "Вікторія" СУФП "Дако", ВСП Агрофірма "Уманська МТС" СУФП "Дако", ВСП Агрофірма "Вереміївська машино-технологічна станція" СУФП "Дако", ВСП Агрофірма "Лівобережна" СУФП "Дако", ВСП Агрофірма "Світанок" СУФП "Дако"</t>
  </si>
  <si>
    <t>СП "Укрінтерцукор"</t>
  </si>
  <si>
    <t xml:space="preserve">КПДТФ "Дніпрянка" </t>
  </si>
  <si>
    <t>ВАТ "Украгротех"</t>
  </si>
  <si>
    <t>ВНО "Укрптахопром"</t>
  </si>
  <si>
    <t>АБ "Донвуглекомбанк"</t>
  </si>
  <si>
    <t>ЗАТ "Гібрид-С"</t>
  </si>
  <si>
    <t>ДП ВО "Південмаш" 
ім.О.М. Макарова</t>
  </si>
  <si>
    <t xml:space="preserve">ВАТ "Надвірнянський лісокомбінат" </t>
  </si>
  <si>
    <t>ЗАТ СНК "Одеська кукурудза"</t>
  </si>
  <si>
    <t>АТ "Кріопром"</t>
  </si>
  <si>
    <t xml:space="preserve">Концерн "Південриба", 
АТ "Південриббуд" </t>
  </si>
  <si>
    <t>Академія медичних наук</t>
  </si>
  <si>
    <t xml:space="preserve">Інженерно-технічний центр "Сумиоблагротехсервіс", </t>
  </si>
  <si>
    <t xml:space="preserve">Інженерно - технічний центр "Сумиагротранс" </t>
  </si>
  <si>
    <t>Міжрайонний торговий будинок "Агротехсервіс"</t>
  </si>
  <si>
    <t>Підстави надання гарантії/кредиту</t>
  </si>
  <si>
    <t>Дата та номер гарантії/угоди
(ким підписана)</t>
  </si>
  <si>
    <t>Крім того, нараховано пені
млн. грн.</t>
  </si>
  <si>
    <t>Цільве призначення кредиту</t>
  </si>
  <si>
    <t>№ 40-1987/96 від 23.10.1992
(Слєпічев О.І.)</t>
  </si>
  <si>
    <t>устаткування для заводу по виробництву склотари</t>
  </si>
  <si>
    <t>євро</t>
  </si>
  <si>
    <t>яп</t>
  </si>
  <si>
    <t>дол</t>
  </si>
  <si>
    <t>Сума оформленого кредиту
млн. дол. США</t>
  </si>
  <si>
    <t>сільгосптехніка, запчастини</t>
  </si>
  <si>
    <t xml:space="preserve">ВАТ "Агропромінвест" </t>
  </si>
  <si>
    <t>ЗАТ "Світанок"</t>
  </si>
  <si>
    <t>розпорядження кму від 03.07.1996 №419-р</t>
  </si>
  <si>
    <t>№ 22-1821 від 11.07.1996  (Лазаренко П.І.)</t>
  </si>
  <si>
    <t>Указ Президента України від 04.03.1998 №166/98</t>
  </si>
  <si>
    <t>промислове обладнання</t>
  </si>
  <si>
    <t>№40-1085/5 від 18.05.1992 (Слєпічев)</t>
  </si>
  <si>
    <t>воробниче обладнання</t>
  </si>
  <si>
    <t>протокол ВКР від 05.08.1992 №2(28)</t>
  </si>
  <si>
    <t>товари народного вжитку, продукти харчування</t>
  </si>
  <si>
    <t>протокол ВКР від 04.11.1993 №6(32)</t>
  </si>
  <si>
    <t>№40-2260/96 від 25.10.1993 
(Ландик В. І.)</t>
  </si>
  <si>
    <t>постанова КМУ від 31.01.1997 №104</t>
  </si>
  <si>
    <t>№40-406/97 від 07.02.1997 
(Шпек Р. В.)</t>
  </si>
  <si>
    <t>сільгосптехніка</t>
  </si>
  <si>
    <t>постанова КМУ від 31.01.97 № 104</t>
  </si>
  <si>
    <t>постанова  КМУ від 25.12.1996 №1549</t>
  </si>
  <si>
    <t>фольгопрокатне обладнаня для виготовлення алюмінієвої фольги</t>
  </si>
  <si>
    <t>протокол ВКР від 14.10.1994 №2(42)</t>
  </si>
  <si>
    <t>№40-1814/96 від 26.10.1994
 (Мітюков І. О.)</t>
  </si>
  <si>
    <t>сировина</t>
  </si>
  <si>
    <t>№40-1813/96 від 26.10.1994 
(Мітюков І. О.)</t>
  </si>
  <si>
    <t>№40-2211/96 від 26.11.1992 
(Юхновський І. Р.)</t>
  </si>
  <si>
    <t>будівництво заводу для виробництва поліетилену</t>
  </si>
  <si>
    <t>постанова КМУ від 31.01.1997 №103</t>
  </si>
  <si>
    <t>№40-409/97 від 07.02.1997
 (Шпек В. В.)</t>
  </si>
  <si>
    <t>№ 40-406/97 від 07.02.97   
(Шпек Р.В.)</t>
  </si>
  <si>
    <t>№27-304/166 від 27.05.1998 
(Мітюков І. О.)</t>
  </si>
  <si>
    <t>постанова КМУ ВІД 01.07.1997 №648</t>
  </si>
  <si>
    <t>№40-1840/96 ВІД 15.07.1997 
(Шпек Р. В.)</t>
  </si>
  <si>
    <t>постанова КМУ від31.01.1997 №106</t>
  </si>
  <si>
    <t>№40-404/96 від 07.02.1997
(Шпек Р. В.)</t>
  </si>
  <si>
    <t xml:space="preserve">Луганська обласна державна адміністрація </t>
  </si>
  <si>
    <t>постанова КМУ від 06.06.2011 №598</t>
  </si>
  <si>
    <t>Гарантійна угода від 26.12.2011
Договір про погашення заборгованості від 27.03.2013</t>
  </si>
  <si>
    <t>технічне переоснащення, модернізація</t>
  </si>
  <si>
    <t>постанова КМУ від 31.01.1997 №107</t>
  </si>
  <si>
    <t>№40-410/96 від 07.02.1997 
(Шпек Р. В.)</t>
  </si>
  <si>
    <t>протокол ВКР від 7-9.07.1992 №2</t>
  </si>
  <si>
    <t>№21-1479/96 від 10.07.1992 
(Слєпічев О. І.)</t>
  </si>
  <si>
    <t>протокол ВКР від 12.02.1993 №5(18)</t>
  </si>
  <si>
    <t>№40-330/96 від 18.02.1993 
(Юхновський І. Р.)</t>
  </si>
  <si>
    <t>технологічне обладнання</t>
  </si>
  <si>
    <t>постанова КМУ від 31.01.1997 №102</t>
  </si>
  <si>
    <t>№40-403/96 від 07.02.1997 
(Шпек Р. В.)</t>
  </si>
  <si>
    <t>сільгосппродукція</t>
  </si>
  <si>
    <t>розпорядження КМУ від 21.08.1997 №464-Р
постанова КМУ від 18.02.1998 №195</t>
  </si>
  <si>
    <t>протокол ВКР  від 12.02.1993 №5(18)</t>
  </si>
  <si>
    <t>постанова КМУ від 26.01.1998</t>
  </si>
  <si>
    <t>дизельні двигуни, моторні мастила,запчастини</t>
  </si>
  <si>
    <t>Гарантія від 30.06.2009 №28010-02/77
Договір від 30.06.2009 №28010-02/78</t>
  </si>
  <si>
    <t xml:space="preserve">Договір від 25.07.1997 
(Щербак Ю. М.)
</t>
  </si>
  <si>
    <t>постанова КМУ від 15.03.2006 №316</t>
  </si>
  <si>
    <t>постанова КМУ від 04.02.1998 №115</t>
  </si>
  <si>
    <t>№52-407/9 від 11.02.1998 
(Шпек Р. В.)</t>
  </si>
  <si>
    <t>постанова  КМУ від 28.10.1997 №1169</t>
  </si>
  <si>
    <t>№40-2694/96 від 13.10.1997 
(Шпек Р. В.)</t>
  </si>
  <si>
    <t>Договір від 25.07.1997 
(Щербак Ю. М.)
Угода від 13.10.2003 №13000-04/87</t>
  </si>
  <si>
    <t>Акт №071-211 "Зарахування заборг-ті ДП "ВО Південмаш"</t>
  </si>
  <si>
    <t>рохпорядження КМУ від 12.01.1996 №28-р</t>
  </si>
  <si>
    <t>№40-105/96 від 12.01.1996 
(Шпек Р. В.)</t>
  </si>
  <si>
    <t>Закон України від 03.07.1996 №265/96-ВР</t>
  </si>
  <si>
    <t>Угода про позику №38910-UA від 28.09.1995</t>
  </si>
  <si>
    <t>будівництво заводу по переробці насіння</t>
  </si>
  <si>
    <t>постанова КМУ від 07.02.1996 №166</t>
  </si>
  <si>
    <t>№40-761/96 від 22.03.1996 
(Шпек Р. В.)</t>
  </si>
  <si>
    <t>протокол ВКР від 06.12.1994 №6(46)</t>
  </si>
  <si>
    <t>устаткування для виробництва вакцин</t>
  </si>
  <si>
    <t xml:space="preserve"> № 40-746/55 від 29.05.92 (Слєпічев О.І.)
№ 40-476/51 від 29.05.92 (Слєпічев О.І.) </t>
  </si>
  <si>
    <t>нафтопродукти</t>
  </si>
  <si>
    <t>розпорядження КМУ від 11.01.1996 №21-р</t>
  </si>
  <si>
    <t>№40-111/96 від 12.01.1996 (Шпек Р. В.)</t>
  </si>
  <si>
    <t>протокол  ВКР від 16.09.1993 №5(31)</t>
  </si>
  <si>
    <t>модульні установки для виробництва інфузійних розчинів і контейнерів з ПВХ, медпрепарати</t>
  </si>
  <si>
    <t>розпорядження КМУ від 23.08.1996 №534-р, від 02.09.1996 №548-р</t>
  </si>
  <si>
    <t>Міжурядові угоди від 21.07.1993 (Персіянов О. Б), від 04.03.1994 (Карасик Ю. М.), від 29.12.1995 (Щербак Ю. М.)</t>
  </si>
  <si>
    <t>Акт передачі-приймання кредиторської забооргованості від 31.07.2003</t>
  </si>
  <si>
    <t>протокол ВКР від 22-23.09.1992 №7</t>
  </si>
  <si>
    <t>№40-689/96 від 31.03.93 (Кучма Л.Д.)
 №40-703/96 від 31.03.93 (Кучма Л.Д.)
 №40-699/96 від 31.03.93 (Кучма Л.Д.) 
№40-701/96 від 31.03.93 (Кучма Л.Д.)</t>
  </si>
  <si>
    <t>сільгоспродукція</t>
  </si>
  <si>
    <t>повноваження кму від 27.08.1995 №22-2304/6</t>
  </si>
  <si>
    <t>угода від 22.11.1994 
(Щербак Ю. М.)</t>
  </si>
  <si>
    <t>розпорядження КМУ від 11.01.1996 №21-р
розпорядження КМУ від 27.06.1996 №411-р</t>
  </si>
  <si>
    <t>№40-116/96 від 09.02.1996 
№40-297/96 від 29.01.1997
(Шпек Р. В.)</t>
  </si>
  <si>
    <t>№ 40-338/8 від 18.02.93 
(Юхновський І.Р.)</t>
  </si>
  <si>
    <t>розпорядження КМУ від 26.06.96 № 410-р</t>
  </si>
  <si>
    <t>№ 40-1660/96 від 01.07.96   (Шпек Р.В.)</t>
  </si>
  <si>
    <t>постанова КМУ від 15.07.97 № 753</t>
  </si>
  <si>
    <t>№ 40-1919/9 від 23.07.97 
(Шпек Р.В.)</t>
  </si>
  <si>
    <t>векселі</t>
  </si>
  <si>
    <t>Додаткова Угода №28000-04/147-1 від 16.03.2007 до Угоди про реструктурування №130-04/147</t>
  </si>
  <si>
    <t>протокол ВКР від 7-9.07.92 № 2, від 22-23.09.92 № 7</t>
  </si>
  <si>
    <t>постанова КМУ від 24.12.97 № 1464</t>
  </si>
  <si>
    <t xml:space="preserve"> № 40-610/9 від 03.03.98 
(Шпек Р.В.)</t>
  </si>
  <si>
    <t>№ 27-302/1-841 від 16.03.98
 (Мітюков І.О.)</t>
  </si>
  <si>
    <t>протокол ВКР від 7-9.07.92 № 2, 
від 22-23.09.92 № 7</t>
  </si>
  <si>
    <t>протокол ВКР від 26.04.94 № 13</t>
  </si>
  <si>
    <t xml:space="preserve">№ 40-797/96 від 04.05.94 
(Ландик В.І.)
  № 40-1842/96 від 31.10.94  
(Мітюков І.О.)
 № 40-887/96 від 24.03.95
(Саблук П.)                               </t>
  </si>
  <si>
    <t>устаткування для переробки цукрового буряку</t>
  </si>
  <si>
    <t>постанова ВРУ
від 07.06.96 № 239/96</t>
  </si>
  <si>
    <t>Закон України  від 26.03.96 №113/96-ВР</t>
  </si>
  <si>
    <t>телебачення</t>
  </si>
  <si>
    <t>договір від 10.09.1998 №22-04/8
(Мітюков І. О.)</t>
  </si>
  <si>
    <t>договір від 01.11.1997 №1, №2
(Мітюков І. О.)</t>
  </si>
  <si>
    <t>постанова КМУ від 31.01.97 № 101</t>
  </si>
  <si>
    <t>№ 40-408/96 від 07.02.96   (Шпек Р.В.)</t>
  </si>
  <si>
    <t>Постанова КМУ від 31.12.97 №1496</t>
  </si>
  <si>
    <t>медичне обладнання</t>
  </si>
  <si>
    <t xml:space="preserve">Угода про реструктурування від 18.05.1999р. </t>
  </si>
  <si>
    <t>Договір поруки від 19.05.1999р.</t>
  </si>
  <si>
    <t>дитяче харчування</t>
  </si>
  <si>
    <t>ВАТ НАК "Украгролізинг"</t>
  </si>
  <si>
    <t>Договір від 26.01.2015 №13010-05/5</t>
  </si>
  <si>
    <t>устаткування для домобудівельного комбінату</t>
  </si>
  <si>
    <t>протокол ВКР від 14.12.93 № 8 (34)</t>
  </si>
  <si>
    <t xml:space="preserve">Украгробіржа 
 (ТОВ "Арсенал-Агро") </t>
  </si>
  <si>
    <t>  Угода про реструктурування  від 31.12.2003 №130-04/178</t>
  </si>
  <si>
    <t>  Угода про реструктурування  від 31.12.2003 №130-04/184</t>
  </si>
  <si>
    <t>  Угода про реструктурування  від 31.12.2003 №130-04/186</t>
  </si>
  <si>
    <t>  Угода про реструктурування  від 31.12.2003 №130-04/188</t>
  </si>
  <si>
    <t>  Угода про реструктурування  від 31.12.2003 №130-04/190</t>
  </si>
  <si>
    <t>  Угода про реструктурування  від 31.12.2003 №130-04/191</t>
  </si>
  <si>
    <t>  Угода про реструктурування  від 31.12.2003 №130-04/149</t>
  </si>
  <si>
    <t>  Угода про реструктурування  від 31.12.2003 №130-04/164</t>
  </si>
  <si>
    <t>  Угода про реструктурування  від 31.12.2003 №130-04/177</t>
  </si>
  <si>
    <t>  Угода про реструктурування  від 31.12.2003 №130-04/167</t>
  </si>
  <si>
    <t>  Угода про реструктурування  від 31.12.2003 №130-04/173</t>
  </si>
  <si>
    <t>  Угода про реструктурування  від 31.12.2003 №130-04/170</t>
  </si>
  <si>
    <t>  Угода про реструктурування  від 31.12.2003 №130-04/160</t>
  </si>
  <si>
    <t>  Угода про реструктурування  від 31.12.2003 №130-04/174</t>
  </si>
  <si>
    <t>  Угода про реструктурування  від 31.12.2003 №130-04/165</t>
  </si>
  <si>
    <t xml:space="preserve">Украгробіржа 
(ВАТ "Іванівське РТП") </t>
  </si>
  <si>
    <t>  Угода про реструктурування  від 31.12.2003 №130-04/175</t>
  </si>
  <si>
    <t>  Угода про реструктурування  від 31.12.2003 №130-04/169</t>
  </si>
  <si>
    <t>Украгробіржа
(ТОВ "Жовтнева МТС" )</t>
  </si>
  <si>
    <t> Угода про реструктурування  від 31.12.2003 №130-04/168</t>
  </si>
  <si>
    <t> Угода про реструктурування  від 31.12.2003 №130-04/163</t>
  </si>
  <si>
    <t>Украгробіржа
(ТОВ "Надіяагроком" )</t>
  </si>
  <si>
    <t xml:space="preserve">Украгробіржа 
(СГ "Славутич") </t>
  </si>
  <si>
    <t xml:space="preserve">Украгробіржа 
(ТОВ "Царекостянтинівське МТС") </t>
  </si>
  <si>
    <t xml:space="preserve">Украгробіржа 
(ТОВ "Верховина") </t>
  </si>
  <si>
    <t xml:space="preserve">Украгробіржа 
(ПП "Югторг-М") </t>
  </si>
  <si>
    <t xml:space="preserve">Украгробіржа 
(ТОВ "АФ "Мир-Сем і К") </t>
  </si>
  <si>
    <t>  Угода про реструктурування  від 31.12.2003 №130-04/176</t>
  </si>
  <si>
    <t>  Угода про реструктурування  від 31.12.2003 №130-04/155</t>
  </si>
  <si>
    <t>  Угода про реструктурування  від 31.12.2003 №130-04/146</t>
  </si>
  <si>
    <t>№40-338/8 від 18.02.1993 
(Юхновський І. Р.)</t>
  </si>
  <si>
    <t>Київська міська рада</t>
  </si>
  <si>
    <t>Договір від 11.03.2016 №13010-05/38</t>
  </si>
  <si>
    <t>Закон  України від 03.07.1996 №265/96-ВР</t>
  </si>
  <si>
    <t>Угода про позику №38910-UA 
від 28.09.95</t>
  </si>
  <si>
    <t>Центр державного земельного кадастру при Держкомземі</t>
  </si>
  <si>
    <t xml:space="preserve">Закон України від 25.06.2004 №1776-IV </t>
  </si>
  <si>
    <t>Угода про позику № 47090-UA від 17.10.2003</t>
  </si>
  <si>
    <t>видача державних актів</t>
  </si>
  <si>
    <t>Угода про позику (Проект "Розвиток міської інфраструктури") між Україною та МБРР від 26.05.2008 №4869-UA</t>
  </si>
  <si>
    <t>Договір про Субкредитування  між МФУ, Міністерством з питань ЖКГ України та КП "Городок" від 29.12.2009 №28010-02/145</t>
  </si>
  <si>
    <t>Реалізація інвестиційного проекту «Реконструкція енергоємного обладнання системи водопостачання і водовідведення м.Балта»</t>
  </si>
  <si>
    <t>Угода від 29.12.2009 №28010-02/146</t>
  </si>
  <si>
    <t>Угода від 29.12.2009 № 28010-02/148</t>
  </si>
  <si>
    <t xml:space="preserve">КП "Словміськводоканал" </t>
  </si>
  <si>
    <t xml:space="preserve">КП "Дрогобичводоканал" </t>
  </si>
  <si>
    <t>Угода від 27.01.2010 № 28010-02/11</t>
  </si>
  <si>
    <t xml:space="preserve">КП "Кременчукводоканал" </t>
  </si>
  <si>
    <t>Угода від 18.08.2008 № 28020-02/115</t>
  </si>
  <si>
    <t>Угода від 13.08.2010 № 28010-02/97</t>
  </si>
  <si>
    <t xml:space="preserve">Первомайська міська рада </t>
  </si>
  <si>
    <t xml:space="preserve">КП "Водотеплосервіс"(м.Калуш)                                          </t>
  </si>
  <si>
    <t xml:space="preserve">  Угода від16.10.2009  №28010-02/110  </t>
  </si>
  <si>
    <t>КП "Новоград-Волинське УВКГ"</t>
  </si>
  <si>
    <t>Угода від 13.01.2010 №28010-02/20</t>
  </si>
  <si>
    <t>КП "Івано-Франківськводоекотехпром"</t>
  </si>
  <si>
    <t>Угода від 14.09.2010 №28010-02/108</t>
  </si>
  <si>
    <t>Угода від 10.12.2007 №28010-04/207</t>
  </si>
  <si>
    <t>КП "Коломияводоканал"</t>
  </si>
  <si>
    <t>Угода від 16.10.2009 №28010-02/111</t>
  </si>
  <si>
    <t>КП "Служба єдиного замовника" 
м. Кам'янець-Подільський</t>
  </si>
  <si>
    <t>Угода від 12.02.2010 №28010-02/21</t>
  </si>
  <si>
    <t>Угода від 29.12.2009 №28010-02/147</t>
  </si>
  <si>
    <t>КП "Черкасиводоканал"</t>
  </si>
  <si>
    <t>КП "Харківводоканал"</t>
  </si>
  <si>
    <t>Угода від 29.12.2009 №28010-02/144</t>
  </si>
  <si>
    <t xml:space="preserve">ЛМКП "Львівводоканал" </t>
  </si>
  <si>
    <t>Договір про надання позики між Україною та МБРР</t>
  </si>
  <si>
    <t>Угода про позику №46100-UA (проект водопостачання та каналізація м.Львова)</t>
  </si>
  <si>
    <t>водопостачання та каналізація</t>
  </si>
  <si>
    <t>КП "Бориспільводоканал"</t>
  </si>
  <si>
    <t>Угода від 12.01.201 №28010-02/22</t>
  </si>
  <si>
    <t>Угода від 10.12.2007 №2800-00/206</t>
  </si>
  <si>
    <t>Угода від 28.10.2009 №28010-02/116</t>
  </si>
  <si>
    <t>КП "Чернігівводоканал"</t>
  </si>
  <si>
    <t>Угода від 10.12.2007 №28000-04/205</t>
  </si>
  <si>
    <t>Угода від 28.10.2009 №28010-02/117</t>
  </si>
  <si>
    <t xml:space="preserve">ДП НАЕК "Енергоатом" </t>
  </si>
  <si>
    <t xml:space="preserve">Угода від 22.10.2004  № 13000-04/150 </t>
  </si>
  <si>
    <t>Угода від 20.10.2008 №24668</t>
  </si>
  <si>
    <t>ЄІБ</t>
  </si>
  <si>
    <t>Угода від 18.11.2010 №28010-02/169
Позика від 19.10.20110 №40147</t>
  </si>
  <si>
    <t>ЄБРР №37598 
Угода від 07.12.2007 №28000-04/202</t>
  </si>
  <si>
    <t>Угода від 23.08.2007 №28000-04/123</t>
  </si>
  <si>
    <t xml:space="preserve">ПАТ "Укргідроенерго" 
</t>
  </si>
  <si>
    <t>Угода від 21.09.2012 №31177</t>
  </si>
  <si>
    <t xml:space="preserve">Українська енерго-сервісна компанія (УкрЕСКО) 
</t>
  </si>
  <si>
    <t>Договір № 28010-02/9 від 20.01.2011,  угода ЄБРР від 26.11.2010 № 40185</t>
  </si>
  <si>
    <t xml:space="preserve"> Державне агентство автомобільних доріг України (Укравтодор)</t>
  </si>
  <si>
    <t>Угода від 21.10.2005 № 28000-04/77-1
Кредитна угода від 21.10.2005 №33832</t>
  </si>
  <si>
    <t>Позика № 36547 від 19.12.2006</t>
  </si>
  <si>
    <t>Кредитна угода від 28.02.2005 №31928</t>
  </si>
  <si>
    <t>Угода від 21.04.2009 №28010-02/40</t>
  </si>
  <si>
    <t>Угода про позику (Проект "Розширення доступу до ринків фінансових послуг") між Україною та МБРР від 26.06.2006 № 4827-UA</t>
  </si>
  <si>
    <t>Кредитний договір мід Міністерством фінансів України та ВАТ КБ "Надра" (зараз - ПАТ "Комерційний банк "Надра") від 22.07.2007 № 28000-04/99</t>
  </si>
  <si>
    <t>Угода від 09.12.1998 
№22-04/27</t>
  </si>
  <si>
    <t>Рефінансування довгострокових кредитів підприємців, що працюють у сільській місцевості</t>
  </si>
  <si>
    <t>Угода від 22.06.2007 №28000-04/98</t>
  </si>
  <si>
    <t>ПАТ КБ "Надра"</t>
  </si>
  <si>
    <t>ПАТ  КБ "Кредитпромбанк"</t>
  </si>
  <si>
    <t>Угода про позику №38910-UA від 28.09.95</t>
  </si>
  <si>
    <t>Закон України від 11.07.1996 № 310/96-ВР</t>
  </si>
  <si>
    <t>Угода про позику №40160-UA від 11.07.1996</t>
  </si>
  <si>
    <t>надання мікрокредитів</t>
  </si>
  <si>
    <t>Угода від 07.11.2005 №28000-04/80(4795)</t>
  </si>
  <si>
    <t>КП "Міськийводоканал"
 м. Нова Каховка</t>
  </si>
  <si>
    <t>Угода від 12.02.2010 №28010-02/19</t>
  </si>
  <si>
    <t>ДП "Львівська обласна дирекція з протипаводкового захисту"</t>
  </si>
  <si>
    <t>постанова КМУ 
від 08.07.2009 №856</t>
  </si>
  <si>
    <t>гарант угода 
від 27.10.2009
 №28010-02/113
(Уманський І. І.)</t>
  </si>
  <si>
    <t>комплексний протипаводковий захист у львівській області</t>
  </si>
  <si>
    <t>ПАТ КБ "Фінанси і кредит"</t>
  </si>
  <si>
    <t>впровадження проектів енергозбереження</t>
  </si>
  <si>
    <t>фінансова угода від 26.07.1993 
(Єременко І. О.)</t>
  </si>
  <si>
    <r>
      <t xml:space="preserve">ВАТ "Укрімпекс"  
</t>
    </r>
    <r>
      <rPr>
        <i/>
        <sz val="11"/>
        <rFont val="Times New Roman"/>
        <family val="1"/>
        <charset val="204"/>
      </rPr>
      <t>(солідарна відповідальність з ООО "Геснерія-Центр", 
ТОВ "Геснерія ЛТД",
АТЗТ "Асоціація дитячого харчування", ВАТ "Херсонський консервний завод дитячого харчування ім. 8 березня" )</t>
    </r>
  </si>
  <si>
    <r>
      <t xml:space="preserve">Київська обласна державна адміністрація
</t>
    </r>
    <r>
      <rPr>
        <i/>
        <sz val="11"/>
        <rFont val="Times New Roman"/>
        <family val="1"/>
        <charset val="204"/>
      </rPr>
      <t>(солідарна з АТ "Агросоюз")</t>
    </r>
  </si>
  <si>
    <t xml:space="preserve">Украгробіржа 
(ТОВ "Агрохімсервіс") </t>
  </si>
  <si>
    <t xml:space="preserve">Украгробіржа 
(ЗАТ "Таврія-Агро") </t>
  </si>
  <si>
    <t xml:space="preserve">Украгробіржа 
(ТОВ "Ельвіра-2000") </t>
  </si>
  <si>
    <t xml:space="preserve">Украгробіржа 
(ТОВ "Чаплинське") </t>
  </si>
  <si>
    <t xml:space="preserve">Украгробіржа 
(ТОВ "Агростар") </t>
  </si>
  <si>
    <t xml:space="preserve">Украгробіржа  
(ТОВ "Юрчиха") </t>
  </si>
  <si>
    <t xml:space="preserve">Украгробіржа 
(СПП Агрофірма "Людмила") </t>
  </si>
  <si>
    <t xml:space="preserve">Украгробіржа 
(ТОВ "Укрнафтінвест") </t>
  </si>
  <si>
    <t xml:space="preserve">Украгробіржа 
(АТЗТ "Енергоресурс") </t>
  </si>
  <si>
    <t xml:space="preserve">Украгробіржа 
(ВАТ "Шампань України") </t>
  </si>
  <si>
    <t xml:space="preserve">Украгробіржа 
(ВАТ ЧРО "Агропроммеханізація") </t>
  </si>
  <si>
    <t xml:space="preserve">Украгробіржа 
(СП ТОВ "Вольвіна") </t>
  </si>
  <si>
    <t xml:space="preserve">Украгробіржа 
(ВАТ Камянське п-во "Агрохім") </t>
  </si>
  <si>
    <r>
      <t xml:space="preserve"> ВАТ "Прикарпатський меблевий комбінат"
</t>
    </r>
    <r>
      <rPr>
        <i/>
        <sz val="11"/>
        <rFont val="Times New Roman"/>
        <family val="1"/>
        <charset val="204"/>
      </rPr>
      <t xml:space="preserve"> (солідарна відповідальність з 
ЛПО "Прикарпатліс", 
ХК "Прикарпатліс", 
ВАТ "Івано-Франківська меблева фабрика")</t>
    </r>
  </si>
  <si>
    <r>
      <t xml:space="preserve">ТОВ "Геснерія ЛТД" 
</t>
    </r>
    <r>
      <rPr>
        <i/>
        <sz val="11"/>
        <rFont val="Times New Roman"/>
        <family val="1"/>
        <charset val="204"/>
      </rPr>
      <t>(солідарна відповідальність з ВАТ "Укрімпекс" )</t>
    </r>
  </si>
  <si>
    <r>
      <t xml:space="preserve">АТЗТ "Асоціація дитячого харчування" 
</t>
    </r>
    <r>
      <rPr>
        <i/>
        <sz val="11"/>
        <rFont val="Times New Roman"/>
        <family val="1"/>
        <charset val="204"/>
      </rPr>
      <t>(солідарна відповідальність 
з ВАТ "Укрімпекс" )</t>
    </r>
  </si>
  <si>
    <r>
      <t>ВАТ "Луганський облагротехсервіс"</t>
    </r>
    <r>
      <rPr>
        <i/>
        <sz val="11"/>
        <rFont val="Times New Roman"/>
        <family val="1"/>
        <charset val="204"/>
      </rPr>
      <t xml:space="preserve"> (солідарна відповідальність з Луганською обласною державною адміністрацією)</t>
    </r>
  </si>
  <si>
    <r>
      <t xml:space="preserve">ВАТ "Агромашсервіскомплект" </t>
    </r>
    <r>
      <rPr>
        <i/>
        <sz val="11"/>
        <rFont val="Times New Roman"/>
        <family val="1"/>
        <charset val="204"/>
      </rPr>
      <t>(солідарна відповідальність з Житомирською обласною державною адміністрацією)</t>
    </r>
  </si>
  <si>
    <r>
      <t xml:space="preserve">ВАТ "Сумиоблагротехсервіс", </t>
    </r>
    <r>
      <rPr>
        <b/>
        <i/>
        <sz val="11"/>
        <rFont val="Times New Roman"/>
        <family val="1"/>
        <charset val="204"/>
      </rPr>
      <t>солідарна відповідальність з 
Сумська облдержадміністрація (гарант),</t>
    </r>
  </si>
  <si>
    <r>
      <t>КП "Городок"</t>
    </r>
    <r>
      <rPr>
        <b/>
        <i/>
        <sz val="11"/>
        <rFont val="Times New Roman"/>
        <family val="1"/>
        <charset val="204"/>
      </rPr>
      <t xml:space="preserve">  
</t>
    </r>
  </si>
  <si>
    <t>Позичальник</t>
  </si>
  <si>
    <t>Відшкодовано витрат
 державного бюджету
млн. грн.</t>
  </si>
  <si>
    <t xml:space="preserve">№ 40-2157/96 від 07.12.96   (Мітюков І.О.)
№ 40-2462/96 від 12.09.95
 № 40-2460/96 від 12.09.95 
  (Шпек Р.В.)     </t>
  </si>
  <si>
    <t>промислове 
обладнання</t>
  </si>
  <si>
    <t>угоди про уступку права вимоги 28.11.03 №130-04/108, 
28.11.03 №130-04/109, 
від 03.12.003 №130-04/111)</t>
  </si>
  <si>
    <t>№ 40-1858/96 від 30.08.93 
(Ландик В.І.)</t>
  </si>
  <si>
    <r>
      <t xml:space="preserve">ЛПО "Прикарпатліс",  </t>
    </r>
    <r>
      <rPr>
        <i/>
        <sz val="11"/>
        <rFont val="Times New Roman"/>
        <family val="1"/>
        <charset val="204"/>
      </rPr>
      <t>(солідарна відповідальність з 
ХК "Прикарпатліс", 
ВАТ "Прикарпатський меблевий комбінат" та  ВАТ "Івано-Франківська меблева фабрика")</t>
    </r>
  </si>
  <si>
    <r>
      <t xml:space="preserve">ХК "Прикарпатліс" 
</t>
    </r>
    <r>
      <rPr>
        <i/>
        <sz val="11"/>
        <rFont val="Times New Roman"/>
        <family val="1"/>
        <charset val="204"/>
      </rPr>
      <t>(солідарна відповідальність з ЛПО "Прикарпатліс", ВАТ "Прикарпатський меблевий комбінат" та  ВАТ "Івано-Франківська меблева фабрика" )</t>
    </r>
  </si>
  <si>
    <t>№101-04/53 від 07.12.2000,
 угода №896 від 11.12.2000</t>
  </si>
  <si>
    <t>№28000-04/217 від 18.12.2007,
фін.угода від 30.07.2007  №24062 ЄІБ</t>
  </si>
  <si>
    <t>№15010-02/121 від 06.07.2011,
 фін.угода від 27.05.2011 № 26131 ЄІБ</t>
  </si>
  <si>
    <r>
      <t xml:space="preserve"> ВАТ "Херсонський консервний завод дитячого харчування 
ім. 8 березня" 
</t>
    </r>
    <r>
      <rPr>
        <b/>
        <i/>
        <sz val="11"/>
        <rFont val="Times New Roman"/>
        <family val="1"/>
        <charset val="204"/>
      </rPr>
      <t>(</t>
    </r>
    <r>
      <rPr>
        <i/>
        <sz val="11"/>
        <rFont val="Times New Roman"/>
        <family val="1"/>
        <charset val="204"/>
      </rPr>
      <t>солідарна відповідальність 
з ВАТ "Укрімпекс" )</t>
    </r>
  </si>
  <si>
    <r>
      <t xml:space="preserve">ООО "Геснерія-Центр"
</t>
    </r>
    <r>
      <rPr>
        <i/>
        <sz val="11"/>
        <rFont val="Times New Roman"/>
        <family val="1"/>
        <charset val="204"/>
      </rPr>
      <t>(солідарна відповідальність з ВАТ  Укрімпекс")</t>
    </r>
  </si>
  <si>
    <r>
      <t xml:space="preserve">АТ "Агросоюз" 
</t>
    </r>
    <r>
      <rPr>
        <i/>
        <sz val="11"/>
        <rFont val="Times New Roman"/>
        <family val="1"/>
        <charset val="204"/>
      </rPr>
      <t>(солідарна відповідальність з Київською обласною державною адміністрацією)</t>
    </r>
  </si>
  <si>
    <t>НАК "Нафтогаз" дочірня компанія "Укртрансгаз"</t>
  </si>
  <si>
    <t>Договір від 11.12.2012 №15010-03/127</t>
  </si>
  <si>
    <t>Корпорація "Агродон"</t>
  </si>
  <si>
    <t xml:space="preserve">постанова КМУ 
від 15.03.06 №315 </t>
  </si>
  <si>
    <r>
      <t xml:space="preserve">ВАТ "Івано-Франківська меблева фабрика"   
</t>
    </r>
    <r>
      <rPr>
        <i/>
        <sz val="11"/>
        <rFont val="Times New Roman"/>
        <family val="1"/>
        <charset val="204"/>
      </rPr>
      <t>(солідарна відповідальність з ЛПО "Прикарпатліс", 
ХК "Прикарпатліс", 
ВАТ "Прикарпатський меблевий комбінат")</t>
    </r>
  </si>
  <si>
    <t xml:space="preserve">
№40-1858/96 від 30.08.1993 (Ландик В. І.)
</t>
  </si>
  <si>
    <t>Заборгованість позичальників, по яким існує державна реєстрація припинення юридичної особи</t>
  </si>
  <si>
    <t>Всього</t>
  </si>
  <si>
    <t>РАЗОМ</t>
  </si>
  <si>
    <t>№22-1175/5,№22-1178/5, №22-1166/5, №22-1165/5, №22-1164/5, №22-1160/5,№22-1159/5, № 22-1161/5, №22-1162/5, №22-1163/5, №22-1166/5 , від 25.05.92
 (Ситнік В.П.);  № 22-11/5 від 07.10.92, (Слєпічев)</t>
  </si>
  <si>
    <t xml:space="preserve">№ 22-1176/5 від 25.05.92, № 22-1179/5 від 25.05.92, № 22-1177/5 від 25.05.92
 (Ситнік В.П.)                                     </t>
  </si>
  <si>
    <t xml:space="preserve">постанова КМУ від 15.03.06 №315 </t>
  </si>
  <si>
    <t xml:space="preserve">Міністерством фінансів України </t>
  </si>
  <si>
    <t>КП "Агентство програм розвитку Одеси"</t>
  </si>
  <si>
    <t>Державна служба лікарських засобів і виробів медичного призначення 
(ІКУ №6216;6389;6390)</t>
  </si>
  <si>
    <t xml:space="preserve">Житомирська обласна державна адміністрація </t>
  </si>
  <si>
    <t>Угода від 11.12.2009 №28010-02/134 (7791)</t>
  </si>
  <si>
    <t>МКП "Миколаївводоканал"</t>
  </si>
  <si>
    <t>Договір від 02.10.2010 №28010-02/125</t>
  </si>
  <si>
    <t xml:space="preserve">НЕК "Укренерго" </t>
  </si>
  <si>
    <t>Договір від 23.07.97 
(Мітюков І.О.)</t>
  </si>
  <si>
    <t>Угода від 29.09.2011 №40518</t>
  </si>
  <si>
    <t>Договір про реструктуризацію 
від 16.03.2017 №13010-05/32</t>
  </si>
  <si>
    <t>Закон України від 
20.10.2016 №1701-VIII</t>
  </si>
  <si>
    <t xml:space="preserve">ІНФОРМАЦІЙНА ДОВІДКА
 щодо стану простроченої заборгованості позичальників перед державою за позиками, наданими державою або під державні гарантії, 
за станом на 01.07.2017р. </t>
  </si>
  <si>
    <t>(курс Національного банку України на 30.06.2017)</t>
  </si>
  <si>
    <t>Заборгованість перед державною
млн. дол. США
(на 01.07.2017)</t>
  </si>
  <si>
    <t xml:space="preserve">Державною казначейською
службою України
(станом на 01.06.2017)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</si>
</sst>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₴_-;\-* #,##0.00_₴_-;_-* &quot;-&quot;??_₴_-;_-@_-"/>
    <numFmt numFmtId="164" formatCode="0.000"/>
    <numFmt numFmtId="165" formatCode="#,##0.0000000000"/>
    <numFmt numFmtId="166" formatCode="#,##0.000"/>
    <numFmt numFmtId="167" formatCode="#,##0.00000"/>
    <numFmt numFmtId="168" formatCode="#,##0.00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226">
    <xf numFmtId="0" fontId="0" fillId="0" borderId="0" xfId="0"/>
    <xf numFmtId="4" fontId="1" fillId="0" borderId="1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7" fontId="6" fillId="0" borderId="8" xfId="1" applyNumberFormat="1" applyFont="1" applyFill="1" applyBorder="1" applyAlignment="1">
      <alignment horizontal="center" vertical="center" wrapText="1"/>
    </xf>
    <xf numFmtId="167" fontId="1" fillId="0" borderId="8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wrapText="1"/>
    </xf>
    <xf numFmtId="4" fontId="1" fillId="2" borderId="8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2" borderId="0" xfId="0" applyFont="1" applyFill="1"/>
    <xf numFmtId="4" fontId="8" fillId="2" borderId="0" xfId="0" applyNumberFormat="1" applyFont="1" applyFill="1"/>
    <xf numFmtId="4" fontId="4" fillId="2" borderId="0" xfId="0" applyNumberFormat="1" applyFont="1" applyFill="1"/>
    <xf numFmtId="0" fontId="8" fillId="2" borderId="0" xfId="0" applyFont="1" applyFill="1" applyBorder="1"/>
    <xf numFmtId="165" fontId="8" fillId="0" borderId="0" xfId="0" applyNumberFormat="1" applyFont="1"/>
    <xf numFmtId="0" fontId="4" fillId="2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3" fontId="4" fillId="4" borderId="8" xfId="0" applyNumberFormat="1" applyFont="1" applyFill="1" applyBorder="1" applyAlignment="1">
      <alignment horizontal="center"/>
    </xf>
    <xf numFmtId="166" fontId="8" fillId="2" borderId="8" xfId="0" applyNumberFormat="1" applyFont="1" applyFill="1" applyBorder="1" applyAlignment="1">
      <alignment horizontal="right" vertical="center"/>
    </xf>
    <xf numFmtId="166" fontId="4" fillId="4" borderId="8" xfId="0" applyNumberFormat="1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 applyProtection="1">
      <alignment horizontal="right" vertical="center" wrapText="1"/>
    </xf>
    <xf numFmtId="164" fontId="4" fillId="4" borderId="8" xfId="0" applyNumberFormat="1" applyFont="1" applyFill="1" applyBorder="1" applyAlignment="1">
      <alignment horizontal="right" vertical="center"/>
    </xf>
    <xf numFmtId="166" fontId="4" fillId="4" borderId="8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right" vertical="center"/>
    </xf>
    <xf numFmtId="166" fontId="8" fillId="0" borderId="8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166" fontId="8" fillId="0" borderId="9" xfId="0" applyNumberFormat="1" applyFont="1" applyFill="1" applyBorder="1" applyAlignment="1">
      <alignment horizontal="right" vertical="center"/>
    </xf>
    <xf numFmtId="166" fontId="4" fillId="4" borderId="7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6" fontId="8" fillId="2" borderId="8" xfId="0" applyNumberFormat="1" applyFont="1" applyFill="1" applyBorder="1" applyAlignment="1">
      <alignment vertical="center"/>
    </xf>
    <xf numFmtId="166" fontId="4" fillId="4" borderId="8" xfId="0" applyNumberFormat="1" applyFont="1" applyFill="1" applyBorder="1" applyAlignment="1">
      <alignment vertical="center"/>
    </xf>
    <xf numFmtId="166" fontId="8" fillId="0" borderId="7" xfId="0" applyNumberFormat="1" applyFont="1" applyFill="1" applyBorder="1" applyAlignment="1">
      <alignment horizontal="right" vertical="center"/>
    </xf>
    <xf numFmtId="166" fontId="8" fillId="0" borderId="8" xfId="0" applyNumberFormat="1" applyFont="1" applyFill="1" applyBorder="1" applyAlignment="1">
      <alignment horizontal="right" vertical="center" wrapText="1"/>
    </xf>
    <xf numFmtId="166" fontId="8" fillId="2" borderId="6" xfId="0" applyNumberFormat="1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 applyProtection="1">
      <alignment horizontal="right" wrapText="1"/>
    </xf>
    <xf numFmtId="166" fontId="8" fillId="2" borderId="8" xfId="0" applyNumberFormat="1" applyFont="1" applyFill="1" applyBorder="1"/>
    <xf numFmtId="164" fontId="4" fillId="5" borderId="8" xfId="0" applyNumberFormat="1" applyFont="1" applyFill="1" applyBorder="1" applyAlignment="1">
      <alignment horizontal="right" vertical="center"/>
    </xf>
    <xf numFmtId="166" fontId="8" fillId="2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right" wrapText="1"/>
    </xf>
    <xf numFmtId="164" fontId="4" fillId="4" borderId="8" xfId="0" applyNumberFormat="1" applyFont="1" applyFill="1" applyBorder="1" applyAlignment="1">
      <alignment horizontal="right" wrapText="1"/>
    </xf>
    <xf numFmtId="164" fontId="4" fillId="5" borderId="8" xfId="0" applyNumberFormat="1" applyFont="1" applyFill="1" applyBorder="1" applyAlignment="1">
      <alignment horizontal="right"/>
    </xf>
    <xf numFmtId="166" fontId="4" fillId="4" borderId="6" xfId="0" applyNumberFormat="1" applyFont="1" applyFill="1" applyBorder="1" applyAlignment="1">
      <alignment horizontal="right" vertical="center"/>
    </xf>
    <xf numFmtId="166" fontId="8" fillId="2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 applyProtection="1">
      <alignment horizontal="right" wrapText="1"/>
    </xf>
    <xf numFmtId="164" fontId="4" fillId="4" borderId="8" xfId="0" applyNumberFormat="1" applyFont="1" applyFill="1" applyBorder="1" applyAlignment="1">
      <alignment horizontal="right"/>
    </xf>
    <xf numFmtId="166" fontId="8" fillId="2" borderId="6" xfId="0" applyNumberFormat="1" applyFont="1" applyFill="1" applyBorder="1" applyAlignment="1">
      <alignment horizontal="right"/>
    </xf>
    <xf numFmtId="166" fontId="8" fillId="0" borderId="8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/>
    </xf>
    <xf numFmtId="0" fontId="4" fillId="6" borderId="13" xfId="0" applyFont="1" applyFill="1" applyBorder="1" applyAlignment="1">
      <alignment horizontal="center"/>
    </xf>
    <xf numFmtId="4" fontId="4" fillId="6" borderId="13" xfId="0" applyNumberFormat="1" applyFont="1" applyFill="1" applyBorder="1" applyAlignment="1">
      <alignment horizontal="center"/>
    </xf>
    <xf numFmtId="166" fontId="4" fillId="6" borderId="13" xfId="0" applyNumberFormat="1" applyFont="1" applyFill="1" applyBorder="1" applyAlignment="1">
      <alignment horizontal="center"/>
    </xf>
    <xf numFmtId="166" fontId="4" fillId="6" borderId="13" xfId="0" applyNumberFormat="1" applyFont="1" applyFill="1" applyBorder="1" applyAlignment="1">
      <alignment horizontal="right"/>
    </xf>
    <xf numFmtId="166" fontId="4" fillId="6" borderId="13" xfId="0" applyNumberFormat="1" applyFont="1" applyFill="1" applyBorder="1" applyAlignment="1">
      <alignment horizontal="right" vertical="center"/>
    </xf>
    <xf numFmtId="0" fontId="4" fillId="0" borderId="0" xfId="0" applyFont="1" applyFill="1"/>
    <xf numFmtId="168" fontId="4" fillId="0" borderId="0" xfId="0" applyNumberFormat="1" applyFont="1" applyFill="1"/>
    <xf numFmtId="0" fontId="8" fillId="0" borderId="0" xfId="0" applyFont="1" applyFill="1"/>
    <xf numFmtId="168" fontId="8" fillId="0" borderId="0" xfId="0" applyNumberFormat="1" applyFont="1" applyFill="1"/>
    <xf numFmtId="166" fontId="4" fillId="4" borderId="8" xfId="0" applyNumberFormat="1" applyFont="1" applyFill="1" applyBorder="1" applyAlignment="1">
      <alignment horizontal="right" vertical="center" wrapText="1"/>
    </xf>
    <xf numFmtId="166" fontId="8" fillId="0" borderId="8" xfId="0" applyNumberFormat="1" applyFont="1" applyBorder="1" applyAlignment="1">
      <alignment horizontal="right" vertical="center" wrapText="1"/>
    </xf>
    <xf numFmtId="0" fontId="8" fillId="0" borderId="0" xfId="0" applyFont="1" applyFill="1" applyBorder="1"/>
    <xf numFmtId="166" fontId="8" fillId="0" borderId="3" xfId="0" applyNumberFormat="1" applyFont="1" applyFill="1" applyBorder="1" applyAlignment="1">
      <alignment horizontal="right" vertical="center"/>
    </xf>
    <xf numFmtId="166" fontId="8" fillId="0" borderId="7" xfId="0" applyNumberFormat="1" applyFont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166" fontId="8" fillId="0" borderId="8" xfId="0" applyNumberFormat="1" applyFont="1" applyFill="1" applyBorder="1" applyAlignment="1">
      <alignment horizontal="right" vertical="center" shrinkToFit="1"/>
    </xf>
    <xf numFmtId="166" fontId="8" fillId="0" borderId="7" xfId="0" applyNumberFormat="1" applyFont="1" applyFill="1" applyBorder="1" applyAlignment="1">
      <alignment horizontal="right" vertical="center" wrapText="1"/>
    </xf>
    <xf numFmtId="166" fontId="8" fillId="0" borderId="7" xfId="0" applyNumberFormat="1" applyFont="1" applyBorder="1" applyAlignment="1">
      <alignment vertical="center" wrapText="1"/>
    </xf>
    <xf numFmtId="166" fontId="8" fillId="2" borderId="7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vertical="center"/>
    </xf>
    <xf numFmtId="166" fontId="8" fillId="0" borderId="8" xfId="0" applyNumberFormat="1" applyFont="1" applyFill="1" applyBorder="1" applyAlignment="1" applyProtection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vertical="center"/>
    </xf>
    <xf numFmtId="166" fontId="4" fillId="4" borderId="7" xfId="0" applyNumberFormat="1" applyFont="1" applyFill="1" applyBorder="1" applyAlignment="1">
      <alignment vertical="center"/>
    </xf>
    <xf numFmtId="166" fontId="4" fillId="4" borderId="3" xfId="0" applyNumberFormat="1" applyFont="1" applyFill="1" applyBorder="1" applyAlignment="1">
      <alignment horizontal="right" vertical="center"/>
    </xf>
    <xf numFmtId="4" fontId="4" fillId="6" borderId="13" xfId="0" applyNumberFormat="1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right" vertical="center"/>
    </xf>
    <xf numFmtId="166" fontId="4" fillId="6" borderId="15" xfId="0" applyNumberFormat="1" applyFont="1" applyFill="1" applyBorder="1" applyAlignment="1">
      <alignment horizontal="center"/>
    </xf>
    <xf numFmtId="166" fontId="4" fillId="6" borderId="15" xfId="0" applyNumberFormat="1" applyFont="1" applyFill="1" applyBorder="1" applyAlignment="1">
      <alignment horizontal="right"/>
    </xf>
    <xf numFmtId="166" fontId="4" fillId="6" borderId="1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" fontId="8" fillId="0" borderId="0" xfId="0" applyNumberFormat="1" applyFont="1" applyFill="1"/>
    <xf numFmtId="0" fontId="4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43" fontId="4" fillId="0" borderId="3" xfId="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43" fontId="4" fillId="0" borderId="8" xfId="2" applyFont="1" applyBorder="1" applyAlignment="1">
      <alignment horizontal="left" vertical="center" wrapText="1"/>
    </xf>
    <xf numFmtId="43" fontId="4" fillId="0" borderId="8" xfId="2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43" fontId="4" fillId="3" borderId="8" xfId="2" applyFont="1" applyFill="1" applyBorder="1" applyAlignment="1">
      <alignment vertical="center" wrapText="1"/>
    </xf>
    <xf numFmtId="43" fontId="4" fillId="3" borderId="8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3" fontId="4" fillId="3" borderId="8" xfId="2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/>
    </xf>
    <xf numFmtId="164" fontId="8" fillId="0" borderId="8" xfId="0" applyNumberFormat="1" applyFont="1" applyFill="1" applyBorder="1" applyAlignment="1">
      <alignment horizontal="right" wrapText="1"/>
    </xf>
    <xf numFmtId="0" fontId="4" fillId="6" borderId="17" xfId="0" applyFont="1" applyFill="1" applyBorder="1" applyAlignment="1">
      <alignment horizontal="center" vertical="center"/>
    </xf>
    <xf numFmtId="166" fontId="8" fillId="2" borderId="0" xfId="0" applyNumberFormat="1" applyFont="1" applyFill="1" applyBorder="1"/>
    <xf numFmtId="4" fontId="8" fillId="2" borderId="0" xfId="0" applyNumberFormat="1" applyFont="1" applyFill="1" applyBorder="1"/>
    <xf numFmtId="166" fontId="4" fillId="4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vertical="center"/>
    </xf>
    <xf numFmtId="166" fontId="4" fillId="4" borderId="7" xfId="0" applyNumberFormat="1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6" fontId="8" fillId="0" borderId="8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vertical="center" wrapText="1"/>
    </xf>
    <xf numFmtId="0" fontId="4" fillId="6" borderId="21" xfId="0" applyFont="1" applyFill="1" applyBorder="1" applyAlignment="1">
      <alignment horizontal="center" vertical="center"/>
    </xf>
    <xf numFmtId="166" fontId="4" fillId="6" borderId="22" xfId="0" applyNumberFormat="1" applyFont="1" applyFill="1" applyBorder="1" applyAlignment="1">
      <alignment horizontal="right" vertical="center"/>
    </xf>
    <xf numFmtId="166" fontId="4" fillId="6" borderId="16" xfId="0" applyNumberFormat="1" applyFont="1" applyFill="1" applyBorder="1" applyAlignment="1">
      <alignment horizontal="right" vertical="center"/>
    </xf>
    <xf numFmtId="166" fontId="8" fillId="0" borderId="7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horizontal="right" vertical="center"/>
    </xf>
    <xf numFmtId="166" fontId="8" fillId="0" borderId="8" xfId="0" applyNumberFormat="1" applyFont="1" applyFill="1" applyBorder="1" applyAlignment="1">
      <alignment horizontal="right" vertical="center"/>
    </xf>
    <xf numFmtId="166" fontId="8" fillId="0" borderId="8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/>
    </xf>
    <xf numFmtId="166" fontId="4" fillId="4" borderId="7" xfId="0" applyNumberFormat="1" applyFont="1" applyFill="1" applyBorder="1" applyAlignment="1">
      <alignment horizontal="right" vertical="center"/>
    </xf>
    <xf numFmtId="166" fontId="4" fillId="4" borderId="1" xfId="0" applyNumberFormat="1" applyFont="1" applyFill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right" vertical="center"/>
    </xf>
    <xf numFmtId="166" fontId="8" fillId="2" borderId="7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6" fontId="8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6" fontId="8" fillId="0" borderId="8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166" fontId="8" fillId="2" borderId="3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3" borderId="1" xfId="2" applyFont="1" applyFill="1" applyBorder="1" applyAlignment="1">
      <alignment vertical="center" wrapText="1"/>
    </xf>
    <xf numFmtId="43" fontId="4" fillId="3" borderId="7" xfId="2" applyFont="1" applyFill="1" applyBorder="1" applyAlignment="1">
      <alignment vertical="center" wrapText="1"/>
    </xf>
    <xf numFmtId="43" fontId="4" fillId="3" borderId="1" xfId="2" applyFont="1" applyFill="1" applyBorder="1" applyAlignment="1">
      <alignment horizontal="left" vertical="center" wrapText="1"/>
    </xf>
    <xf numFmtId="43" fontId="4" fillId="3" borderId="7" xfId="2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right" vertical="center"/>
    </xf>
    <xf numFmtId="166" fontId="9" fillId="2" borderId="3" xfId="0" applyNumberFormat="1" applyFont="1" applyFill="1" applyBorder="1" applyAlignment="1">
      <alignment horizontal="right" vertical="center"/>
    </xf>
    <xf numFmtId="166" fontId="9" fillId="2" borderId="7" xfId="0" applyNumberFormat="1" applyFont="1" applyFill="1" applyBorder="1" applyAlignment="1">
      <alignment horizontal="right" vertical="center"/>
    </xf>
    <xf numFmtId="4" fontId="4" fillId="2" borderId="19" xfId="0" applyNumberFormat="1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vertical="center"/>
    </xf>
    <xf numFmtId="166" fontId="4" fillId="4" borderId="3" xfId="0" applyNumberFormat="1" applyFont="1" applyFill="1" applyBorder="1" applyAlignment="1">
      <alignment vertical="center"/>
    </xf>
    <xf numFmtId="166" fontId="4" fillId="4" borderId="7" xfId="0" applyNumberFormat="1" applyFont="1" applyFill="1" applyBorder="1" applyAlignment="1">
      <alignment vertic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76"/>
  <sheetViews>
    <sheetView tabSelected="1" topLeftCell="A4" zoomScaleNormal="100" workbookViewId="0">
      <selection activeCell="A4" sqref="A4:J4"/>
    </sheetView>
  </sheetViews>
  <sheetFormatPr defaultRowHeight="15" x14ac:dyDescent="0.25"/>
  <cols>
    <col min="1" max="1" width="41.42578125" style="38" customWidth="1"/>
    <col min="2" max="2" width="22.85546875" style="37" customWidth="1"/>
    <col min="3" max="3" width="37.28515625" style="37" customWidth="1"/>
    <col min="4" max="4" width="17.7109375" style="37" customWidth="1"/>
    <col min="5" max="5" width="22" style="37" customWidth="1"/>
    <col min="6" max="6" width="19" style="38" customWidth="1"/>
    <col min="7" max="7" width="20.140625" style="39" customWidth="1"/>
    <col min="8" max="8" width="21.7109375" style="39" customWidth="1"/>
    <col min="9" max="9" width="17.28515625" style="37" customWidth="1"/>
    <col min="10" max="10" width="16.28515625" style="40" customWidth="1"/>
    <col min="11" max="11" width="9.140625" style="41"/>
    <col min="12" max="12" width="20" style="41" customWidth="1"/>
    <col min="13" max="16384" width="9.140625" style="41"/>
  </cols>
  <sheetData>
    <row r="1" spans="1:13" hidden="1" x14ac:dyDescent="0.25"/>
    <row r="2" spans="1:13" hidden="1" x14ac:dyDescent="0.25"/>
    <row r="3" spans="1:13" hidden="1" x14ac:dyDescent="0.25"/>
    <row r="4" spans="1:13" ht="53.25" customHeight="1" x14ac:dyDescent="0.25">
      <c r="A4" s="200" t="s">
        <v>358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3" ht="16.5" customHeight="1" x14ac:dyDescent="0.25">
      <c r="A5" s="202" t="s">
        <v>359</v>
      </c>
      <c r="B5" s="202"/>
      <c r="C5" s="202"/>
      <c r="D5" s="202"/>
      <c r="E5" s="202"/>
      <c r="F5" s="202"/>
      <c r="G5" s="202"/>
      <c r="H5" s="202"/>
      <c r="I5" s="202"/>
      <c r="J5" s="202"/>
    </row>
    <row r="8" spans="1:13" ht="51" customHeight="1" x14ac:dyDescent="0.25">
      <c r="A8" s="194" t="s">
        <v>320</v>
      </c>
      <c r="B8" s="194" t="s">
        <v>57</v>
      </c>
      <c r="C8" s="194" t="s">
        <v>58</v>
      </c>
      <c r="D8" s="194" t="s">
        <v>66</v>
      </c>
      <c r="E8" s="194" t="s">
        <v>60</v>
      </c>
      <c r="F8" s="194" t="s">
        <v>360</v>
      </c>
      <c r="G8" s="207" t="s">
        <v>59</v>
      </c>
      <c r="H8" s="207"/>
      <c r="I8" s="207" t="s">
        <v>321</v>
      </c>
      <c r="J8" s="207"/>
      <c r="L8" s="42">
        <f>2978.6782/2609.8994</f>
        <v>1.1413000056630536</v>
      </c>
      <c r="M8" s="41" t="s">
        <v>63</v>
      </c>
    </row>
    <row r="9" spans="1:13" ht="69.75" customHeight="1" x14ac:dyDescent="0.25">
      <c r="A9" s="195"/>
      <c r="B9" s="195"/>
      <c r="C9" s="195"/>
      <c r="D9" s="195"/>
      <c r="E9" s="195"/>
      <c r="F9" s="195"/>
      <c r="G9" s="27" t="s">
        <v>346</v>
      </c>
      <c r="H9" s="27" t="s">
        <v>361</v>
      </c>
      <c r="I9" s="154">
        <v>2016</v>
      </c>
      <c r="J9" s="43">
        <v>2017</v>
      </c>
    </row>
    <row r="10" spans="1:13" x14ac:dyDescent="0.25">
      <c r="A10" s="44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6">
        <v>7</v>
      </c>
      <c r="H10" s="46">
        <v>8</v>
      </c>
      <c r="I10" s="46">
        <v>10</v>
      </c>
      <c r="J10" s="46">
        <v>10</v>
      </c>
      <c r="L10" s="41">
        <v>26.098994000000001</v>
      </c>
      <c r="M10" s="41" t="s">
        <v>65</v>
      </c>
    </row>
    <row r="11" spans="1:13" ht="25.5" x14ac:dyDescent="0.25">
      <c r="A11" s="120" t="s">
        <v>18</v>
      </c>
      <c r="B11" s="5"/>
      <c r="C11" s="5" t="s">
        <v>61</v>
      </c>
      <c r="D11" s="47">
        <f>(31.33472/1.95583)*L8</f>
        <v>18.284981881579789</v>
      </c>
      <c r="E11" s="4" t="s">
        <v>62</v>
      </c>
      <c r="F11" s="48">
        <f>6.10404959*L8</f>
        <v>6.9665518316345594</v>
      </c>
      <c r="G11" s="55">
        <v>0</v>
      </c>
      <c r="H11" s="55">
        <f>16602698.89/1000000</f>
        <v>16.602698889999999</v>
      </c>
      <c r="I11" s="48">
        <v>0</v>
      </c>
      <c r="J11" s="48">
        <v>0</v>
      </c>
      <c r="L11" s="41">
        <f>23.16415/2609.8994</f>
        <v>8.8754953543420112E-3</v>
      </c>
      <c r="M11" s="41" t="s">
        <v>64</v>
      </c>
    </row>
    <row r="12" spans="1:13" ht="25.5" x14ac:dyDescent="0.25">
      <c r="A12" s="133" t="s">
        <v>53</v>
      </c>
      <c r="B12" s="24" t="s">
        <v>174</v>
      </c>
      <c r="C12" s="25"/>
      <c r="D12" s="62">
        <f>13.03562003*L8</f>
        <v>14.877553214060415</v>
      </c>
      <c r="E12" s="30" t="s">
        <v>175</v>
      </c>
      <c r="F12" s="48">
        <v>0</v>
      </c>
      <c r="G12" s="55">
        <v>0</v>
      </c>
      <c r="H12" s="55">
        <f>4753481.16/1000000</f>
        <v>4.7534811599999998</v>
      </c>
      <c r="I12" s="48">
        <v>0</v>
      </c>
      <c r="J12" s="48">
        <v>0</v>
      </c>
    </row>
    <row r="13" spans="1:13" ht="25.5" x14ac:dyDescent="0.25">
      <c r="A13" s="120" t="s">
        <v>15</v>
      </c>
      <c r="B13" s="5"/>
      <c r="C13" s="6" t="s">
        <v>152</v>
      </c>
      <c r="D13" s="49">
        <v>70</v>
      </c>
      <c r="E13" s="5" t="s">
        <v>67</v>
      </c>
      <c r="F13" s="50">
        <v>54.89744468</v>
      </c>
      <c r="G13" s="55">
        <v>0</v>
      </c>
      <c r="H13" s="55">
        <f>488564577.61/1000000</f>
        <v>488.56457761000001</v>
      </c>
      <c r="I13" s="48">
        <v>0</v>
      </c>
      <c r="J13" s="48">
        <v>0</v>
      </c>
    </row>
    <row r="14" spans="1:13" ht="25.5" x14ac:dyDescent="0.25">
      <c r="A14" s="120" t="s">
        <v>10</v>
      </c>
      <c r="B14" s="9" t="s">
        <v>108</v>
      </c>
      <c r="C14" s="34" t="s">
        <v>109</v>
      </c>
      <c r="D14" s="47">
        <f>10.05469595</f>
        <v>10.054695949999999</v>
      </c>
      <c r="E14" s="4" t="s">
        <v>110</v>
      </c>
      <c r="F14" s="51">
        <f>7.56798078*L8</f>
        <v>8.6373365070718808</v>
      </c>
      <c r="G14" s="55">
        <v>0</v>
      </c>
      <c r="H14" s="55">
        <f>64477909.48/1000000</f>
        <v>64.477909479999994</v>
      </c>
      <c r="I14" s="48">
        <v>0</v>
      </c>
      <c r="J14" s="48">
        <v>0</v>
      </c>
    </row>
    <row r="15" spans="1:13" ht="57.75" customHeight="1" x14ac:dyDescent="0.25">
      <c r="A15" s="120" t="s">
        <v>12</v>
      </c>
      <c r="B15" s="34" t="s">
        <v>150</v>
      </c>
      <c r="C15" s="34" t="s">
        <v>151</v>
      </c>
      <c r="D15" s="47">
        <v>60</v>
      </c>
      <c r="E15" s="8" t="s">
        <v>137</v>
      </c>
      <c r="F15" s="48">
        <v>17.04189723</v>
      </c>
      <c r="G15" s="55">
        <v>0</v>
      </c>
      <c r="H15" s="55">
        <f>211672676.9/1000000</f>
        <v>211.6726769</v>
      </c>
      <c r="I15" s="48">
        <v>0</v>
      </c>
      <c r="J15" s="48">
        <v>0</v>
      </c>
    </row>
    <row r="16" spans="1:13" ht="51" x14ac:dyDescent="0.25">
      <c r="A16" s="120" t="s">
        <v>9</v>
      </c>
      <c r="B16" s="34" t="s">
        <v>84</v>
      </c>
      <c r="C16" s="34" t="s">
        <v>297</v>
      </c>
      <c r="D16" s="47">
        <v>60.9161</v>
      </c>
      <c r="E16" s="4" t="s">
        <v>85</v>
      </c>
      <c r="F16" s="48">
        <v>78.341785130000005</v>
      </c>
      <c r="G16" s="55">
        <v>0</v>
      </c>
      <c r="H16" s="55">
        <f>577046325.96/1000000</f>
        <v>577.04632595999999</v>
      </c>
      <c r="I16" s="48">
        <v>0</v>
      </c>
      <c r="J16" s="48">
        <v>0</v>
      </c>
    </row>
    <row r="17" spans="1:10" ht="38.25" x14ac:dyDescent="0.25">
      <c r="A17" s="132" t="s">
        <v>25</v>
      </c>
      <c r="B17" s="34" t="s">
        <v>101</v>
      </c>
      <c r="C17" s="34" t="s">
        <v>102</v>
      </c>
      <c r="D17" s="47">
        <v>85</v>
      </c>
      <c r="E17" s="4" t="s">
        <v>103</v>
      </c>
      <c r="F17" s="48">
        <v>51.472540950000003</v>
      </c>
      <c r="G17" s="173">
        <f>380857979.28/1000000</f>
        <v>380.85797928</v>
      </c>
      <c r="H17" s="66">
        <v>0</v>
      </c>
      <c r="I17" s="48">
        <f>5000/1000000</f>
        <v>5.0000000000000001E-3</v>
      </c>
      <c r="J17" s="48">
        <f>20000/1000000+17000/1000000+10000/1000000+10000/1000000+10000/1000000</f>
        <v>6.7000000000000004E-2</v>
      </c>
    </row>
    <row r="18" spans="1:10" ht="28.5" x14ac:dyDescent="0.25">
      <c r="A18" s="139" t="s">
        <v>0</v>
      </c>
      <c r="B18" s="31"/>
      <c r="C18" s="31" t="s">
        <v>74</v>
      </c>
      <c r="D18" s="54">
        <f>101.905584*L8</f>
        <v>116.30484359629679</v>
      </c>
      <c r="E18" s="35" t="s">
        <v>75</v>
      </c>
      <c r="F18" s="48">
        <f>133.12980464*L8</f>
        <v>151.94104678955321</v>
      </c>
      <c r="G18" s="55">
        <v>0</v>
      </c>
      <c r="H18" s="55">
        <f>749334187/1000000</f>
        <v>749.33418700000004</v>
      </c>
      <c r="I18" s="48">
        <v>0</v>
      </c>
      <c r="J18" s="48">
        <v>0</v>
      </c>
    </row>
    <row r="19" spans="1:10" x14ac:dyDescent="0.25">
      <c r="A19" s="139" t="s">
        <v>179</v>
      </c>
      <c r="B19" s="31"/>
      <c r="C19" s="31"/>
      <c r="D19" s="54"/>
      <c r="E19" s="35"/>
      <c r="F19" s="48">
        <v>0</v>
      </c>
      <c r="G19" s="55">
        <v>0</v>
      </c>
      <c r="H19" s="55">
        <f>246169.46/1000000</f>
        <v>0.24616945999999998</v>
      </c>
      <c r="I19" s="48">
        <v>0</v>
      </c>
      <c r="J19" s="48">
        <v>0</v>
      </c>
    </row>
    <row r="20" spans="1:10" ht="25.5" x14ac:dyDescent="0.25">
      <c r="A20" s="120" t="s">
        <v>6</v>
      </c>
      <c r="B20" s="33"/>
      <c r="C20" s="31" t="s">
        <v>90</v>
      </c>
      <c r="D20" s="54">
        <f>(212.5/1.95583)*L8</f>
        <v>124.00170321725247</v>
      </c>
      <c r="E20" s="35" t="s">
        <v>91</v>
      </c>
      <c r="F20" s="48">
        <f>170.33755291*L8</f>
        <v>194.40625010081368</v>
      </c>
      <c r="G20" s="55">
        <v>0</v>
      </c>
      <c r="H20" s="55">
        <f>249480699.81/1000000</f>
        <v>249.48069981</v>
      </c>
      <c r="I20" s="48">
        <v>0</v>
      </c>
      <c r="J20" s="48">
        <v>0</v>
      </c>
    </row>
    <row r="21" spans="1:10" ht="59.25" x14ac:dyDescent="0.25">
      <c r="A21" s="122" t="s">
        <v>318</v>
      </c>
      <c r="B21" s="179" t="s">
        <v>111</v>
      </c>
      <c r="C21" s="179" t="s">
        <v>112</v>
      </c>
      <c r="D21" s="181">
        <f>4.00923188*L8</f>
        <v>4.5757363673484948</v>
      </c>
      <c r="E21" s="183" t="s">
        <v>82</v>
      </c>
      <c r="F21" s="175">
        <f>3.06132518*L8</f>
        <v>3.4938904452704485</v>
      </c>
      <c r="G21" s="55">
        <v>0</v>
      </c>
      <c r="H21" s="55">
        <f>34020783.75/1000000</f>
        <v>34.02078375</v>
      </c>
      <c r="I21" s="175">
        <v>0</v>
      </c>
      <c r="J21" s="175">
        <v>0</v>
      </c>
    </row>
    <row r="22" spans="1:10" ht="30" x14ac:dyDescent="0.25">
      <c r="A22" s="123" t="s">
        <v>55</v>
      </c>
      <c r="B22" s="204"/>
      <c r="C22" s="204"/>
      <c r="D22" s="205"/>
      <c r="E22" s="206"/>
      <c r="F22" s="196"/>
      <c r="G22" s="203">
        <v>0</v>
      </c>
      <c r="H22" s="203">
        <f>30344556/1000000</f>
        <v>30.344556000000001</v>
      </c>
      <c r="I22" s="196"/>
      <c r="J22" s="196"/>
    </row>
    <row r="23" spans="1:10" ht="30" x14ac:dyDescent="0.25">
      <c r="A23" s="123" t="s">
        <v>54</v>
      </c>
      <c r="B23" s="204"/>
      <c r="C23" s="204"/>
      <c r="D23" s="205"/>
      <c r="E23" s="206"/>
      <c r="F23" s="196"/>
      <c r="G23" s="203"/>
      <c r="H23" s="203"/>
      <c r="I23" s="196"/>
      <c r="J23" s="196"/>
    </row>
    <row r="24" spans="1:10" ht="30" x14ac:dyDescent="0.25">
      <c r="A24" s="124" t="s">
        <v>56</v>
      </c>
      <c r="B24" s="180"/>
      <c r="C24" s="180"/>
      <c r="D24" s="182"/>
      <c r="E24" s="184"/>
      <c r="F24" s="176"/>
      <c r="G24" s="203"/>
      <c r="H24" s="203"/>
      <c r="I24" s="176"/>
      <c r="J24" s="176"/>
    </row>
    <row r="25" spans="1:10" ht="51" x14ac:dyDescent="0.25">
      <c r="A25" s="125" t="s">
        <v>7</v>
      </c>
      <c r="B25" s="9" t="s">
        <v>114</v>
      </c>
      <c r="C25" s="9" t="s">
        <v>125</v>
      </c>
      <c r="D25" s="47">
        <v>3.9723667900000001</v>
      </c>
      <c r="E25" s="8" t="s">
        <v>113</v>
      </c>
      <c r="F25" s="48">
        <v>5.3293416799999997</v>
      </c>
      <c r="G25" s="173">
        <f>14785204/1000000</f>
        <v>14.785204</v>
      </c>
      <c r="H25" s="47">
        <f>124504069.58/1000000</f>
        <v>124.50406957999999</v>
      </c>
      <c r="I25" s="48">
        <v>0</v>
      </c>
      <c r="J25" s="48">
        <v>0</v>
      </c>
    </row>
    <row r="26" spans="1:10" ht="104.25" x14ac:dyDescent="0.25">
      <c r="A26" s="122" t="s">
        <v>298</v>
      </c>
      <c r="B26" s="2"/>
      <c r="C26" s="34" t="s">
        <v>176</v>
      </c>
      <c r="D26" s="47">
        <f>8.264188/L10</f>
        <v>0.31664776044624554</v>
      </c>
      <c r="E26" s="19" t="s">
        <v>178</v>
      </c>
      <c r="F26" s="48">
        <f>8.05722071/L10</f>
        <v>0.3087176735624369</v>
      </c>
      <c r="G26" s="58">
        <v>0</v>
      </c>
      <c r="H26" s="59">
        <f>11329562.38/1000000</f>
        <v>11.32956238</v>
      </c>
      <c r="I26" s="48">
        <v>0</v>
      </c>
      <c r="J26" s="48">
        <v>0</v>
      </c>
    </row>
    <row r="27" spans="1:10" ht="38.25" x14ac:dyDescent="0.25">
      <c r="A27" s="126" t="s">
        <v>13</v>
      </c>
      <c r="B27" s="9" t="s">
        <v>116</v>
      </c>
      <c r="C27" s="9" t="s">
        <v>177</v>
      </c>
      <c r="D27" s="47">
        <f>(11.65592102+9.7393434)*L8</f>
        <v>24.418415403708526</v>
      </c>
      <c r="E27" s="4" t="s">
        <v>117</v>
      </c>
      <c r="F27" s="48">
        <f>16.04882268*L8</f>
        <v>18.316521415569344</v>
      </c>
      <c r="G27" s="173">
        <f>261857038.34/1000000</f>
        <v>261.85703834000003</v>
      </c>
      <c r="H27" s="55">
        <f>48924204.39/1000000</f>
        <v>48.92420439</v>
      </c>
      <c r="I27" s="48">
        <v>0</v>
      </c>
      <c r="J27" s="48">
        <v>0</v>
      </c>
    </row>
    <row r="28" spans="1:10" ht="51" x14ac:dyDescent="0.25">
      <c r="A28" s="197" t="s">
        <v>8</v>
      </c>
      <c r="B28" s="34" t="s">
        <v>114</v>
      </c>
      <c r="C28" s="34" t="s">
        <v>119</v>
      </c>
      <c r="D28" s="47">
        <v>6.0270000000000001</v>
      </c>
      <c r="E28" s="3"/>
      <c r="F28" s="48">
        <v>7.0385284199999996</v>
      </c>
      <c r="G28" s="173">
        <v>0</v>
      </c>
      <c r="H28" s="189">
        <f>(357947.15+880341.73)/1000000</f>
        <v>1.2382888799999998</v>
      </c>
      <c r="I28" s="48">
        <v>0</v>
      </c>
      <c r="J28" s="48">
        <v>0</v>
      </c>
    </row>
    <row r="29" spans="1:10" ht="25.5" x14ac:dyDescent="0.25">
      <c r="A29" s="198"/>
      <c r="B29" s="34" t="s">
        <v>121</v>
      </c>
      <c r="C29" s="34" t="s">
        <v>122</v>
      </c>
      <c r="D29" s="47">
        <v>0.60699999999999998</v>
      </c>
      <c r="E29" s="3"/>
      <c r="F29" s="48">
        <v>0</v>
      </c>
      <c r="G29" s="173">
        <v>0</v>
      </c>
      <c r="H29" s="190"/>
      <c r="I29" s="48">
        <v>0</v>
      </c>
      <c r="J29" s="48">
        <v>0</v>
      </c>
    </row>
    <row r="30" spans="1:10" ht="25.5" x14ac:dyDescent="0.25">
      <c r="A30" s="199"/>
      <c r="B30" s="34" t="s">
        <v>120</v>
      </c>
      <c r="C30" s="2"/>
      <c r="D30" s="47">
        <v>1.0069999999999999</v>
      </c>
      <c r="E30" s="3"/>
      <c r="F30" s="48">
        <v>1.0068979199999999</v>
      </c>
      <c r="G30" s="173">
        <v>0</v>
      </c>
      <c r="H30" s="171">
        <v>0</v>
      </c>
      <c r="I30" s="48">
        <v>0</v>
      </c>
      <c r="J30" s="48">
        <v>0</v>
      </c>
    </row>
    <row r="31" spans="1:10" ht="38.25" x14ac:dyDescent="0.25">
      <c r="A31" s="120" t="s">
        <v>4</v>
      </c>
      <c r="B31" s="34" t="s">
        <v>142</v>
      </c>
      <c r="C31" s="34" t="s">
        <v>143</v>
      </c>
      <c r="D31" s="47">
        <f>39.4968802+19.99940604</f>
        <v>59.496286240000003</v>
      </c>
      <c r="E31" s="8" t="s">
        <v>113</v>
      </c>
      <c r="F31" s="48">
        <v>26.297969479999999</v>
      </c>
      <c r="G31" s="173">
        <v>0</v>
      </c>
      <c r="H31" s="55">
        <f>278495295.4/1000000</f>
        <v>278.49529539999997</v>
      </c>
      <c r="I31" s="48">
        <v>0</v>
      </c>
      <c r="J31" s="48">
        <v>0</v>
      </c>
    </row>
    <row r="32" spans="1:10" ht="42.75" x14ac:dyDescent="0.25">
      <c r="A32" s="126" t="s">
        <v>5</v>
      </c>
      <c r="B32" s="2"/>
      <c r="C32" s="34" t="s">
        <v>144</v>
      </c>
      <c r="D32" s="47"/>
      <c r="E32" s="8" t="s">
        <v>113</v>
      </c>
      <c r="F32" s="48">
        <v>69.435513290000003</v>
      </c>
      <c r="G32" s="55">
        <v>0</v>
      </c>
      <c r="H32" s="55">
        <f>290125389.39/1000000</f>
        <v>290.12538939000001</v>
      </c>
      <c r="I32" s="48">
        <v>0</v>
      </c>
      <c r="J32" s="48">
        <v>0</v>
      </c>
    </row>
    <row r="33" spans="1:10" ht="51" x14ac:dyDescent="0.25">
      <c r="A33" s="126" t="s">
        <v>348</v>
      </c>
      <c r="B33" s="34" t="s">
        <v>134</v>
      </c>
      <c r="C33" s="34" t="s">
        <v>322</v>
      </c>
      <c r="D33" s="47">
        <f>39.23986236*L8</f>
        <v>44.784455133685441</v>
      </c>
      <c r="E33" s="4" t="s">
        <v>135</v>
      </c>
      <c r="F33" s="48">
        <f>29.43848711*L8</f>
        <v>33.598145505354729</v>
      </c>
      <c r="G33" s="55">
        <v>0</v>
      </c>
      <c r="H33" s="55">
        <f>337819841.94/1000000</f>
        <v>337.81984194</v>
      </c>
      <c r="I33" s="48">
        <v>0</v>
      </c>
      <c r="J33" s="48">
        <v>0</v>
      </c>
    </row>
    <row r="34" spans="1:10" ht="51" x14ac:dyDescent="0.25">
      <c r="A34" s="127" t="s">
        <v>291</v>
      </c>
      <c r="B34" s="28" t="s">
        <v>292</v>
      </c>
      <c r="C34" s="28" t="s">
        <v>293</v>
      </c>
      <c r="D34" s="47">
        <f>50*L8</f>
        <v>57.065000283152678</v>
      </c>
      <c r="E34" s="4" t="s">
        <v>294</v>
      </c>
      <c r="F34" s="48">
        <v>0</v>
      </c>
      <c r="G34" s="55">
        <v>0</v>
      </c>
      <c r="H34" s="55">
        <v>0</v>
      </c>
      <c r="I34" s="48">
        <v>0</v>
      </c>
      <c r="J34" s="48">
        <v>0</v>
      </c>
    </row>
    <row r="35" spans="1:10" ht="51" x14ac:dyDescent="0.25">
      <c r="A35" s="132" t="s">
        <v>22</v>
      </c>
      <c r="B35" s="2"/>
      <c r="C35" s="34" t="s">
        <v>324</v>
      </c>
      <c r="D35" s="47"/>
      <c r="E35" s="19" t="s">
        <v>113</v>
      </c>
      <c r="F35" s="48">
        <f>77.60729091/L10</f>
        <v>2.9735740354589915</v>
      </c>
      <c r="G35" s="55">
        <v>0</v>
      </c>
      <c r="H35" s="55">
        <f>63088365.31/1000000</f>
        <v>63.08836531</v>
      </c>
      <c r="I35" s="48">
        <v>0</v>
      </c>
      <c r="J35" s="48">
        <v>0</v>
      </c>
    </row>
    <row r="36" spans="1:10" x14ac:dyDescent="0.25">
      <c r="A36" s="126" t="s">
        <v>26</v>
      </c>
      <c r="B36" s="2"/>
      <c r="C36" s="2" t="s">
        <v>180</v>
      </c>
      <c r="D36" s="47">
        <f>372313538/1000000</f>
        <v>372.31353799999999</v>
      </c>
      <c r="E36" s="3"/>
      <c r="F36" s="48">
        <f>34370370.5/1000000</f>
        <v>34.3703705</v>
      </c>
      <c r="G36" s="55">
        <f>142651874.77/1000000</f>
        <v>142.65187477000001</v>
      </c>
      <c r="H36" s="47">
        <v>0</v>
      </c>
      <c r="I36" s="48">
        <v>0</v>
      </c>
      <c r="J36" s="48">
        <v>0</v>
      </c>
    </row>
    <row r="37" spans="1:10" ht="28.5" x14ac:dyDescent="0.25">
      <c r="A37" s="132" t="s">
        <v>48</v>
      </c>
      <c r="B37" s="34" t="s">
        <v>72</v>
      </c>
      <c r="C37" s="34" t="s">
        <v>95</v>
      </c>
      <c r="D37" s="47">
        <v>107.8</v>
      </c>
      <c r="E37" s="4" t="s">
        <v>323</v>
      </c>
      <c r="F37" s="48">
        <f>13.4429922+3.36074805+3.36074805</f>
        <v>20.164488300000002</v>
      </c>
      <c r="G37" s="55">
        <v>0</v>
      </c>
      <c r="H37" s="47">
        <v>0</v>
      </c>
      <c r="I37" s="48">
        <v>0</v>
      </c>
      <c r="J37" s="48">
        <v>0</v>
      </c>
    </row>
    <row r="38" spans="1:10" ht="28.5" x14ac:dyDescent="0.25">
      <c r="A38" s="126" t="s">
        <v>349</v>
      </c>
      <c r="B38" s="5" t="s">
        <v>83</v>
      </c>
      <c r="C38" s="5" t="s">
        <v>94</v>
      </c>
      <c r="D38" s="47">
        <f>4.09479198*L8</f>
        <v>4.6733861099630261</v>
      </c>
      <c r="E38" s="8" t="s">
        <v>82</v>
      </c>
      <c r="F38" s="48">
        <f>3.99062006*L8</f>
        <v>4.5544946970770948</v>
      </c>
      <c r="G38" s="55">
        <v>0</v>
      </c>
      <c r="H38" s="55">
        <f>9021661.38/1000000</f>
        <v>9.0216613800000012</v>
      </c>
      <c r="I38" s="48">
        <v>0</v>
      </c>
      <c r="J38" s="48">
        <v>0</v>
      </c>
    </row>
    <row r="39" spans="1:10" ht="44.25" customHeight="1" x14ac:dyDescent="0.25">
      <c r="A39" s="122" t="s">
        <v>299</v>
      </c>
      <c r="B39" s="34" t="s">
        <v>92</v>
      </c>
      <c r="C39" s="34" t="s">
        <v>93</v>
      </c>
      <c r="D39" s="55">
        <f>4.04310139*L8</f>
        <v>4.6143916393033004</v>
      </c>
      <c r="E39" s="8" t="s">
        <v>82</v>
      </c>
      <c r="F39" s="60">
        <f>3.64389715*L8</f>
        <v>4.1587798379305845</v>
      </c>
      <c r="G39" s="59">
        <v>0</v>
      </c>
      <c r="H39" s="59">
        <f>38176712.89/1000000</f>
        <v>38.176712889999997</v>
      </c>
      <c r="I39" s="153">
        <v>0</v>
      </c>
      <c r="J39" s="61">
        <v>0</v>
      </c>
    </row>
    <row r="40" spans="1:10" x14ac:dyDescent="0.25">
      <c r="A40" s="139" t="s">
        <v>215</v>
      </c>
      <c r="B40" s="34"/>
      <c r="C40" s="34" t="s">
        <v>216</v>
      </c>
      <c r="D40" s="55"/>
      <c r="E40" s="8"/>
      <c r="F40" s="60">
        <v>0</v>
      </c>
      <c r="G40" s="62">
        <v>0</v>
      </c>
      <c r="H40" s="62">
        <v>0</v>
      </c>
      <c r="I40" s="153">
        <f>598484881.87/1000000</f>
        <v>598.48488186999998</v>
      </c>
      <c r="J40" s="61">
        <f>366000863.71/1000000</f>
        <v>366.00086370999998</v>
      </c>
    </row>
    <row r="41" spans="1:10" ht="28.5" x14ac:dyDescent="0.25">
      <c r="A41" s="132" t="s">
        <v>23</v>
      </c>
      <c r="B41" s="161" t="s">
        <v>357</v>
      </c>
      <c r="C41" s="34" t="s">
        <v>356</v>
      </c>
      <c r="D41" s="47"/>
      <c r="E41" s="2"/>
      <c r="F41" s="48">
        <v>0</v>
      </c>
      <c r="G41" s="55">
        <v>0</v>
      </c>
      <c r="H41" s="47">
        <v>0</v>
      </c>
      <c r="I41" s="48">
        <v>0</v>
      </c>
      <c r="J41" s="48">
        <f>17.65075+17.65075</f>
        <v>35.301499999999997</v>
      </c>
    </row>
    <row r="42" spans="1:10" ht="38.25" x14ac:dyDescent="0.25">
      <c r="A42" s="139" t="s">
        <v>52</v>
      </c>
      <c r="B42" s="34" t="s">
        <v>182</v>
      </c>
      <c r="C42" s="34" t="s">
        <v>325</v>
      </c>
      <c r="D42" s="47">
        <f>5.7420837*L8</f>
        <v>6.5534401593277281</v>
      </c>
      <c r="E42" s="4" t="s">
        <v>181</v>
      </c>
      <c r="F42" s="48">
        <f>6.94654091*L8</f>
        <v>7.9280871799216337</v>
      </c>
      <c r="G42" s="55">
        <v>0</v>
      </c>
      <c r="H42" s="55">
        <f>105184060.66/1000000</f>
        <v>105.18406066</v>
      </c>
      <c r="I42" s="48">
        <v>0</v>
      </c>
      <c r="J42" s="48">
        <v>0</v>
      </c>
    </row>
    <row r="43" spans="1:10" ht="25.5" x14ac:dyDescent="0.25">
      <c r="A43" s="191" t="s">
        <v>17</v>
      </c>
      <c r="B43" s="5" t="s">
        <v>160</v>
      </c>
      <c r="C43" s="5" t="s">
        <v>161</v>
      </c>
      <c r="D43" s="47">
        <v>82.238587999999993</v>
      </c>
      <c r="E43" s="8" t="s">
        <v>82</v>
      </c>
      <c r="F43" s="48">
        <v>75.716032260000006</v>
      </c>
      <c r="G43" s="55">
        <v>0</v>
      </c>
      <c r="H43" s="189">
        <f>(990886115.89+6415859.85)/1000000</f>
        <v>997.30197573999999</v>
      </c>
      <c r="I43" s="48">
        <v>0</v>
      </c>
      <c r="J43" s="48">
        <v>0</v>
      </c>
    </row>
    <row r="44" spans="1:10" ht="25.5" x14ac:dyDescent="0.25">
      <c r="A44" s="193"/>
      <c r="B44" s="5" t="s">
        <v>160</v>
      </c>
      <c r="C44" s="5" t="s">
        <v>162</v>
      </c>
      <c r="D44" s="47">
        <v>13.4445</v>
      </c>
      <c r="E44" s="8" t="s">
        <v>82</v>
      </c>
      <c r="F44" s="48">
        <v>16.702198289999998</v>
      </c>
      <c r="G44" s="55">
        <v>0</v>
      </c>
      <c r="H44" s="190"/>
      <c r="I44" s="48">
        <v>0</v>
      </c>
      <c r="J44" s="48">
        <v>0</v>
      </c>
    </row>
    <row r="45" spans="1:10" ht="38.25" x14ac:dyDescent="0.25">
      <c r="A45" s="193"/>
      <c r="B45" s="11" t="s">
        <v>159</v>
      </c>
      <c r="C45" s="12" t="s">
        <v>344</v>
      </c>
      <c r="D45" s="47">
        <f>27.64938569*L8</f>
        <v>31.55624404457695</v>
      </c>
      <c r="E45" s="8" t="s">
        <v>82</v>
      </c>
      <c r="F45" s="48">
        <f>35.30425976*L8</f>
        <v>40.292751864017916</v>
      </c>
      <c r="G45" s="55">
        <v>0</v>
      </c>
      <c r="H45" s="189">
        <f>102899937.6/1000000</f>
        <v>102.89993759999999</v>
      </c>
      <c r="I45" s="48">
        <v>0</v>
      </c>
      <c r="J45" s="48">
        <v>0</v>
      </c>
    </row>
    <row r="46" spans="1:10" ht="76.5" x14ac:dyDescent="0.25">
      <c r="A46" s="193"/>
      <c r="B46" s="11" t="s">
        <v>163</v>
      </c>
      <c r="C46" s="12" t="s">
        <v>343</v>
      </c>
      <c r="D46" s="47">
        <f>(259.13228873/1.95583)*L8</f>
        <v>151.21338899343453</v>
      </c>
      <c r="E46" s="8" t="s">
        <v>82</v>
      </c>
      <c r="F46" s="48">
        <f>194.11881183*L8</f>
        <v>221.54780104088422</v>
      </c>
      <c r="G46" s="55">
        <v>0</v>
      </c>
      <c r="H46" s="190"/>
      <c r="I46" s="48">
        <v>0</v>
      </c>
      <c r="J46" s="48">
        <v>0</v>
      </c>
    </row>
    <row r="47" spans="1:10" ht="33.75" customHeight="1" x14ac:dyDescent="0.25">
      <c r="A47" s="192"/>
      <c r="B47" s="11" t="s">
        <v>345</v>
      </c>
      <c r="C47" s="12"/>
      <c r="D47" s="47">
        <v>3</v>
      </c>
      <c r="E47" s="8" t="s">
        <v>157</v>
      </c>
      <c r="F47" s="48">
        <v>2.5499999999999998</v>
      </c>
      <c r="G47" s="55">
        <v>0</v>
      </c>
      <c r="H47" s="55">
        <v>0</v>
      </c>
      <c r="I47" s="48">
        <v>0</v>
      </c>
      <c r="J47" s="48">
        <v>0</v>
      </c>
    </row>
    <row r="48" spans="1:10" ht="25.5" x14ac:dyDescent="0.25">
      <c r="A48" s="120" t="s">
        <v>14</v>
      </c>
      <c r="B48" s="9" t="s">
        <v>132</v>
      </c>
      <c r="C48" s="34" t="s">
        <v>133</v>
      </c>
      <c r="D48" s="47">
        <f>171.476378+28.103729</f>
        <v>199.580107</v>
      </c>
      <c r="E48" s="8" t="s">
        <v>82</v>
      </c>
      <c r="F48" s="48">
        <v>152.33522120999999</v>
      </c>
      <c r="G48" s="55">
        <v>0</v>
      </c>
      <c r="H48" s="55">
        <f>1153205511.23/1000000</f>
        <v>1153.20551123</v>
      </c>
      <c r="I48" s="48">
        <v>0</v>
      </c>
      <c r="J48" s="48">
        <v>0</v>
      </c>
    </row>
    <row r="49" spans="1:10" ht="25.5" x14ac:dyDescent="0.25">
      <c r="A49" s="120" t="s">
        <v>336</v>
      </c>
      <c r="B49" s="11" t="s">
        <v>337</v>
      </c>
      <c r="C49" s="5"/>
      <c r="D49" s="149">
        <v>16.944942600000001</v>
      </c>
      <c r="E49" s="5" t="s">
        <v>157</v>
      </c>
      <c r="F49" s="78">
        <v>16.882516720000002</v>
      </c>
      <c r="G49" s="55">
        <v>0</v>
      </c>
      <c r="H49" s="55">
        <v>0</v>
      </c>
      <c r="I49" s="48">
        <v>0</v>
      </c>
      <c r="J49" s="48">
        <v>0</v>
      </c>
    </row>
    <row r="50" spans="1:10" ht="38.25" x14ac:dyDescent="0.25">
      <c r="A50" s="132" t="s">
        <v>21</v>
      </c>
      <c r="B50" s="9" t="s">
        <v>126</v>
      </c>
      <c r="C50" s="2"/>
      <c r="D50" s="47"/>
      <c r="E50" s="2"/>
      <c r="F50" s="48">
        <f>0.29207976/L10</f>
        <v>1.1191226757629048E-2</v>
      </c>
      <c r="G50" s="55">
        <v>0</v>
      </c>
      <c r="H50" s="55">
        <f>356170.23/1000000</f>
        <v>0.35617022999999998</v>
      </c>
      <c r="I50" s="48">
        <v>0</v>
      </c>
      <c r="J50" s="48">
        <v>0</v>
      </c>
    </row>
    <row r="51" spans="1:10" ht="103.5" customHeight="1" x14ac:dyDescent="0.25">
      <c r="A51" s="126" t="s">
        <v>326</v>
      </c>
      <c r="B51" s="179" t="s">
        <v>86</v>
      </c>
      <c r="C51" s="179" t="s">
        <v>87</v>
      </c>
      <c r="D51" s="181">
        <f>1.2782297*L8</f>
        <v>1.4588435638486832</v>
      </c>
      <c r="E51" s="183" t="s">
        <v>88</v>
      </c>
      <c r="F51" s="175">
        <f>1.35594747*L8</f>
        <v>1.5475428551898032</v>
      </c>
      <c r="G51" s="55">
        <v>0</v>
      </c>
      <c r="H51" s="55">
        <f>22431935.78/1000000</f>
        <v>22.43193578</v>
      </c>
      <c r="I51" s="64">
        <v>0</v>
      </c>
      <c r="J51" s="64">
        <v>0</v>
      </c>
    </row>
    <row r="52" spans="1:10" ht="95.25" customHeight="1" x14ac:dyDescent="0.25">
      <c r="A52" s="140" t="s">
        <v>327</v>
      </c>
      <c r="B52" s="180"/>
      <c r="C52" s="180"/>
      <c r="D52" s="182"/>
      <c r="E52" s="184"/>
      <c r="F52" s="176"/>
      <c r="G52" s="65">
        <v>0</v>
      </c>
      <c r="H52" s="65">
        <f>17306991.63/1000000</f>
        <v>17.306991629999999</v>
      </c>
      <c r="I52" s="156">
        <v>0</v>
      </c>
      <c r="J52" s="105">
        <v>0</v>
      </c>
    </row>
    <row r="53" spans="1:10" ht="28.5" x14ac:dyDescent="0.25">
      <c r="A53" s="139" t="s">
        <v>100</v>
      </c>
      <c r="B53" s="34" t="s">
        <v>98</v>
      </c>
      <c r="C53" s="34" t="s">
        <v>99</v>
      </c>
      <c r="D53" s="47">
        <f>2.77353707*L8</f>
        <v>3.1654378736976891</v>
      </c>
      <c r="E53" s="8" t="s">
        <v>82</v>
      </c>
      <c r="F53" s="60">
        <f>2.28872099*L8</f>
        <v>2.6121172788481495</v>
      </c>
      <c r="G53" s="65">
        <v>0</v>
      </c>
      <c r="H53" s="55">
        <f>7018311.34/1000000</f>
        <v>7.0183113399999995</v>
      </c>
      <c r="I53" s="48">
        <v>0</v>
      </c>
      <c r="J53" s="48">
        <v>0</v>
      </c>
    </row>
    <row r="54" spans="1:10" ht="25.5" x14ac:dyDescent="0.25">
      <c r="A54" s="126" t="s">
        <v>11</v>
      </c>
      <c r="B54" s="5" t="s">
        <v>167</v>
      </c>
      <c r="C54" s="6" t="s">
        <v>168</v>
      </c>
      <c r="D54" s="55">
        <f>(530.895519+609.517811)*L11</f>
        <v>10.121733212444704</v>
      </c>
      <c r="E54" s="8" t="s">
        <v>169</v>
      </c>
      <c r="F54" s="48">
        <f>0*L11</f>
        <v>0</v>
      </c>
      <c r="G54" s="56">
        <v>0</v>
      </c>
      <c r="H54" s="163">
        <f>(7496393.98+90812.47)/1000000</f>
        <v>7.58720645</v>
      </c>
      <c r="I54" s="48">
        <v>0</v>
      </c>
      <c r="J54" s="48">
        <f>7.1+9+0.18697258</f>
        <v>16.28697258</v>
      </c>
    </row>
    <row r="55" spans="1:10" ht="25.5" x14ac:dyDescent="0.25">
      <c r="A55" s="120" t="s">
        <v>19</v>
      </c>
      <c r="B55" s="34" t="s">
        <v>70</v>
      </c>
      <c r="C55" s="34" t="s">
        <v>71</v>
      </c>
      <c r="D55" s="55">
        <f>1.18324139*L8</f>
        <v>1.3504334051077593</v>
      </c>
      <c r="E55" s="4" t="s">
        <v>67</v>
      </c>
      <c r="F55" s="48">
        <f>1.04163781*L8</f>
        <v>1.1888212384518508</v>
      </c>
      <c r="G55" s="56">
        <v>0</v>
      </c>
      <c r="H55" s="163">
        <f>6145495.89/1000000</f>
        <v>6.1454958899999994</v>
      </c>
      <c r="I55" s="48">
        <v>0</v>
      </c>
      <c r="J55" s="48">
        <v>0</v>
      </c>
    </row>
    <row r="56" spans="1:10" ht="25.5" x14ac:dyDescent="0.25">
      <c r="A56" s="191" t="s">
        <v>20</v>
      </c>
      <c r="B56" s="2"/>
      <c r="C56" s="34" t="s">
        <v>170</v>
      </c>
      <c r="D56" s="47"/>
      <c r="E56" s="3"/>
      <c r="F56" s="48">
        <f>16.03330225*L8</f>
        <v>18.298807948722448</v>
      </c>
      <c r="G56" s="55">
        <v>0</v>
      </c>
      <c r="H56" s="189">
        <f>9697340.87/1000000</f>
        <v>9.6973408699999997</v>
      </c>
      <c r="I56" s="48">
        <v>0</v>
      </c>
      <c r="J56" s="48">
        <v>0</v>
      </c>
    </row>
    <row r="57" spans="1:10" ht="25.5" x14ac:dyDescent="0.25">
      <c r="A57" s="192"/>
      <c r="B57" s="2"/>
      <c r="C57" s="34" t="s">
        <v>171</v>
      </c>
      <c r="D57" s="47"/>
      <c r="E57" s="3"/>
      <c r="F57" s="48">
        <f>6.87613923/L10</f>
        <v>0.26346376530834864</v>
      </c>
      <c r="G57" s="55">
        <v>0</v>
      </c>
      <c r="H57" s="190"/>
      <c r="I57" s="48">
        <v>0</v>
      </c>
      <c r="J57" s="48">
        <v>0</v>
      </c>
    </row>
    <row r="58" spans="1:10" ht="59.25" customHeight="1" x14ac:dyDescent="0.25">
      <c r="A58" s="120" t="s">
        <v>3</v>
      </c>
      <c r="B58" s="34" t="s">
        <v>145</v>
      </c>
      <c r="C58" s="34" t="s">
        <v>146</v>
      </c>
      <c r="D58" s="55">
        <f>68.12651969*L8</f>
        <v>77.752797308001121</v>
      </c>
      <c r="E58" s="4" t="s">
        <v>110</v>
      </c>
      <c r="F58" s="48">
        <f>96.2540915*L8</f>
        <v>109.85479517404208</v>
      </c>
      <c r="G58" s="55">
        <v>0</v>
      </c>
      <c r="H58" s="56">
        <f>523288471.27/1000000</f>
        <v>523.28847126999995</v>
      </c>
      <c r="I58" s="48">
        <v>0</v>
      </c>
      <c r="J58" s="48">
        <v>0</v>
      </c>
    </row>
    <row r="59" spans="1:10" ht="25.5" x14ac:dyDescent="0.25">
      <c r="A59" s="191" t="s">
        <v>16</v>
      </c>
      <c r="B59" s="10" t="s">
        <v>155</v>
      </c>
      <c r="C59" s="10" t="s">
        <v>156</v>
      </c>
      <c r="D59" s="67">
        <v>66.3</v>
      </c>
      <c r="E59" s="8" t="s">
        <v>82</v>
      </c>
      <c r="F59" s="48">
        <v>51.223896269999997</v>
      </c>
      <c r="G59" s="55">
        <v>0</v>
      </c>
      <c r="H59" s="189">
        <f>510334581.41/1000000</f>
        <v>510.33458141</v>
      </c>
      <c r="I59" s="48">
        <v>0</v>
      </c>
      <c r="J59" s="48">
        <v>0</v>
      </c>
    </row>
    <row r="60" spans="1:10" ht="25.5" x14ac:dyDescent="0.25">
      <c r="A60" s="193"/>
      <c r="B60" s="10" t="s">
        <v>155</v>
      </c>
      <c r="C60" s="10" t="s">
        <v>354</v>
      </c>
      <c r="D60" s="67">
        <v>10.842000000000001</v>
      </c>
      <c r="E60" s="8" t="s">
        <v>82</v>
      </c>
      <c r="F60" s="48">
        <v>3.2164408799999999</v>
      </c>
      <c r="G60" s="55">
        <v>0</v>
      </c>
      <c r="H60" s="190"/>
      <c r="I60" s="48">
        <v>0</v>
      </c>
      <c r="J60" s="48">
        <v>0</v>
      </c>
    </row>
    <row r="61" spans="1:10" ht="25.5" x14ac:dyDescent="0.25">
      <c r="A61" s="193"/>
      <c r="B61" s="10" t="s">
        <v>345</v>
      </c>
      <c r="C61" s="10"/>
      <c r="D61" s="67">
        <v>3</v>
      </c>
      <c r="E61" s="8" t="s">
        <v>157</v>
      </c>
      <c r="F61" s="48">
        <v>1.5639717900000001</v>
      </c>
      <c r="G61" s="55">
        <v>0</v>
      </c>
      <c r="H61" s="55">
        <v>0</v>
      </c>
      <c r="I61" s="48">
        <v>0</v>
      </c>
      <c r="J61" s="48">
        <v>0</v>
      </c>
    </row>
    <row r="62" spans="1:10" ht="38.25" x14ac:dyDescent="0.25">
      <c r="A62" s="192"/>
      <c r="B62" s="2"/>
      <c r="C62" s="34" t="s">
        <v>158</v>
      </c>
      <c r="D62" s="67">
        <f>99172.94/1000000</f>
        <v>9.9172940000000001E-2</v>
      </c>
      <c r="E62" s="8" t="s">
        <v>82</v>
      </c>
      <c r="F62" s="48">
        <f>103234.86/1000000</f>
        <v>0.10323486</v>
      </c>
      <c r="G62" s="55">
        <f>2276077.43/1000000</f>
        <v>2.27607743</v>
      </c>
      <c r="H62" s="55">
        <v>0</v>
      </c>
      <c r="I62" s="48">
        <v>0</v>
      </c>
      <c r="J62" s="48">
        <v>0</v>
      </c>
    </row>
    <row r="63" spans="1:10" ht="28.5" x14ac:dyDescent="0.25">
      <c r="A63" s="130" t="s">
        <v>300</v>
      </c>
      <c r="B63" s="13"/>
      <c r="C63" s="34" t="s">
        <v>184</v>
      </c>
      <c r="D63" s="67">
        <v>0.108</v>
      </c>
      <c r="E63" s="8" t="s">
        <v>82</v>
      </c>
      <c r="F63" s="48">
        <f>39598.67/1000000</f>
        <v>3.9598669999999996E-2</v>
      </c>
      <c r="G63" s="55">
        <f>784177.49/1000000</f>
        <v>0.78417749000000003</v>
      </c>
      <c r="H63" s="55">
        <v>0</v>
      </c>
      <c r="I63" s="48">
        <v>0</v>
      </c>
      <c r="J63" s="48">
        <v>0</v>
      </c>
    </row>
    <row r="64" spans="1:10" ht="28.5" x14ac:dyDescent="0.25">
      <c r="A64" s="130" t="s">
        <v>183</v>
      </c>
      <c r="B64" s="13"/>
      <c r="C64" s="34" t="s">
        <v>185</v>
      </c>
      <c r="D64" s="67">
        <v>8.5999999999999993E-2</v>
      </c>
      <c r="E64" s="8" t="s">
        <v>82</v>
      </c>
      <c r="F64" s="48">
        <f>88163.56/1000000</f>
        <v>8.8163560000000002E-2</v>
      </c>
      <c r="G64" s="55">
        <f>1966106/1000000</f>
        <v>1.9661059999999999</v>
      </c>
      <c r="H64" s="55">
        <v>0</v>
      </c>
      <c r="I64" s="48">
        <v>0</v>
      </c>
      <c r="J64" s="48">
        <v>0</v>
      </c>
    </row>
    <row r="65" spans="1:10" ht="28.5" x14ac:dyDescent="0.25">
      <c r="A65" s="130" t="s">
        <v>301</v>
      </c>
      <c r="B65" s="13"/>
      <c r="C65" s="34" t="s">
        <v>190</v>
      </c>
      <c r="D65" s="67">
        <v>0.20300000000000001</v>
      </c>
      <c r="E65" s="8" t="s">
        <v>82</v>
      </c>
      <c r="F65" s="48">
        <f>93860.11/1000000</f>
        <v>9.3860109999999997E-2</v>
      </c>
      <c r="G65" s="55">
        <f>1636187.25/1000000</f>
        <v>1.6361872500000001</v>
      </c>
      <c r="H65" s="55">
        <v>0</v>
      </c>
      <c r="I65" s="48">
        <v>0</v>
      </c>
      <c r="J65" s="48">
        <v>0</v>
      </c>
    </row>
    <row r="66" spans="1:10" ht="28.5" x14ac:dyDescent="0.25">
      <c r="A66" s="130" t="s">
        <v>302</v>
      </c>
      <c r="B66" s="13"/>
      <c r="C66" s="34" t="s">
        <v>191</v>
      </c>
      <c r="D66" s="67">
        <v>1.0449999999999999</v>
      </c>
      <c r="E66" s="8" t="s">
        <v>82</v>
      </c>
      <c r="F66" s="48">
        <v>1.0767708899999999</v>
      </c>
      <c r="G66" s="55">
        <f>24051121.23/1000000</f>
        <v>24.05112123</v>
      </c>
      <c r="H66" s="55">
        <v>0</v>
      </c>
      <c r="I66" s="48">
        <v>0</v>
      </c>
      <c r="J66" s="48">
        <v>0</v>
      </c>
    </row>
    <row r="67" spans="1:10" ht="28.5" x14ac:dyDescent="0.25">
      <c r="A67" s="130" t="s">
        <v>303</v>
      </c>
      <c r="B67" s="13"/>
      <c r="C67" s="34" t="s">
        <v>192</v>
      </c>
      <c r="D67" s="67">
        <v>4.7E-2</v>
      </c>
      <c r="E67" s="8" t="s">
        <v>82</v>
      </c>
      <c r="F67" s="48">
        <f>46472.15/1000000</f>
        <v>4.6472150000000004E-2</v>
      </c>
      <c r="G67" s="55">
        <f>917430.87/1000000</f>
        <v>0.91743087000000001</v>
      </c>
      <c r="H67" s="55">
        <v>0</v>
      </c>
      <c r="I67" s="48">
        <f>21675.2/1000000</f>
        <v>2.1675200000000002E-2</v>
      </c>
      <c r="J67" s="48">
        <v>0</v>
      </c>
    </row>
    <row r="68" spans="1:10" ht="28.5" x14ac:dyDescent="0.25">
      <c r="A68" s="130" t="s">
        <v>304</v>
      </c>
      <c r="B68" s="13"/>
      <c r="C68" s="34" t="s">
        <v>193</v>
      </c>
      <c r="D68" s="67">
        <v>0.17</v>
      </c>
      <c r="E68" s="8" t="s">
        <v>82</v>
      </c>
      <c r="F68" s="48">
        <f>172831.38/1000000</f>
        <v>0.17283138000000001</v>
      </c>
      <c r="G68" s="55">
        <f>3754754.8/1000000</f>
        <v>3.7547547999999997</v>
      </c>
      <c r="H68" s="55">
        <v>0</v>
      </c>
      <c r="I68" s="48">
        <v>0</v>
      </c>
      <c r="J68" s="48">
        <v>0</v>
      </c>
    </row>
    <row r="69" spans="1:10" ht="28.5" x14ac:dyDescent="0.25">
      <c r="A69" s="130" t="s">
        <v>305</v>
      </c>
      <c r="B69" s="13"/>
      <c r="C69" s="34" t="s">
        <v>194</v>
      </c>
      <c r="D69" s="67">
        <v>0.13500000000000001</v>
      </c>
      <c r="E69" s="8" t="s">
        <v>82</v>
      </c>
      <c r="F69" s="48">
        <f>140053.54/1000000</f>
        <v>0.14005354</v>
      </c>
      <c r="G69" s="55">
        <f>709442.07/1000000</f>
        <v>0.70944206999999992</v>
      </c>
      <c r="H69" s="55">
        <v>0</v>
      </c>
      <c r="I69" s="48">
        <v>0</v>
      </c>
      <c r="J69" s="48">
        <v>0</v>
      </c>
    </row>
    <row r="70" spans="1:10" ht="28.5" x14ac:dyDescent="0.25">
      <c r="A70" s="131" t="s">
        <v>306</v>
      </c>
      <c r="B70" s="13"/>
      <c r="C70" s="34" t="s">
        <v>188</v>
      </c>
      <c r="D70" s="67">
        <v>0.20699999999999999</v>
      </c>
      <c r="E70" s="8" t="s">
        <v>82</v>
      </c>
      <c r="F70" s="48">
        <f>214513.59/1000000</f>
        <v>0.21451359</v>
      </c>
      <c r="G70" s="55">
        <f>4769684.53/1000000</f>
        <v>4.7696845300000001</v>
      </c>
      <c r="H70" s="55">
        <v>0</v>
      </c>
      <c r="I70" s="48">
        <v>0</v>
      </c>
      <c r="J70" s="48">
        <v>0</v>
      </c>
    </row>
    <row r="71" spans="1:10" ht="28.5" x14ac:dyDescent="0.25">
      <c r="A71" s="130" t="s">
        <v>307</v>
      </c>
      <c r="B71" s="13"/>
      <c r="C71" s="34" t="s">
        <v>195</v>
      </c>
      <c r="D71" s="67">
        <v>0.16500000000000001</v>
      </c>
      <c r="E71" s="8" t="s">
        <v>82</v>
      </c>
      <c r="F71" s="48">
        <f>170822.53/1000000</f>
        <v>0.17082253</v>
      </c>
      <c r="G71" s="55">
        <f>3803593.64/1000000</f>
        <v>3.8035936400000003</v>
      </c>
      <c r="H71" s="55">
        <v>0</v>
      </c>
      <c r="I71" s="48">
        <v>0</v>
      </c>
      <c r="J71" s="48">
        <v>0</v>
      </c>
    </row>
    <row r="72" spans="1:10" ht="28.5" x14ac:dyDescent="0.25">
      <c r="A72" s="130" t="s">
        <v>308</v>
      </c>
      <c r="B72" s="13"/>
      <c r="C72" s="34" t="s">
        <v>196</v>
      </c>
      <c r="D72" s="67">
        <v>0.59099999999999997</v>
      </c>
      <c r="E72" s="8" t="s">
        <v>82</v>
      </c>
      <c r="F72" s="48">
        <f>604237.06/1000000</f>
        <v>0.6042370600000001</v>
      </c>
      <c r="G72" s="55">
        <f>13455039.44/1000000</f>
        <v>13.45503944</v>
      </c>
      <c r="H72" s="55">
        <v>0</v>
      </c>
      <c r="I72" s="48">
        <v>0</v>
      </c>
      <c r="J72" s="48">
        <v>0</v>
      </c>
    </row>
    <row r="73" spans="1:10" ht="28.5" x14ac:dyDescent="0.25">
      <c r="A73" s="130" t="s">
        <v>309</v>
      </c>
      <c r="B73" s="13"/>
      <c r="C73" s="34" t="s">
        <v>187</v>
      </c>
      <c r="D73" s="67">
        <v>0.111</v>
      </c>
      <c r="E73" s="8" t="s">
        <v>82</v>
      </c>
      <c r="F73" s="48">
        <f>115305.12/1000000</f>
        <v>0.11530512</v>
      </c>
      <c r="G73" s="55">
        <f>2557172.2/1000000</f>
        <v>2.5571722000000001</v>
      </c>
      <c r="H73" s="55">
        <v>0</v>
      </c>
      <c r="I73" s="48">
        <v>0</v>
      </c>
      <c r="J73" s="48">
        <v>0</v>
      </c>
    </row>
    <row r="74" spans="1:10" ht="28.5" x14ac:dyDescent="0.25">
      <c r="A74" s="130" t="s">
        <v>310</v>
      </c>
      <c r="B74" s="13"/>
      <c r="C74" s="34" t="s">
        <v>198</v>
      </c>
      <c r="D74" s="67">
        <v>0.379</v>
      </c>
      <c r="E74" s="8" t="s">
        <v>82</v>
      </c>
      <c r="F74" s="48">
        <f>394026.06/1000000</f>
        <v>0.39402606000000001</v>
      </c>
      <c r="G74" s="55">
        <f>2018198.46/1000000</f>
        <v>2.0181984599999998</v>
      </c>
      <c r="H74" s="55">
        <v>0</v>
      </c>
      <c r="I74" s="48">
        <v>0</v>
      </c>
      <c r="J74" s="48">
        <v>0</v>
      </c>
    </row>
    <row r="75" spans="1:10" ht="28.5" x14ac:dyDescent="0.25">
      <c r="A75" s="130" t="s">
        <v>311</v>
      </c>
      <c r="B75" s="13"/>
      <c r="C75" s="34" t="s">
        <v>186</v>
      </c>
      <c r="D75" s="67">
        <v>0.53</v>
      </c>
      <c r="E75" s="8" t="s">
        <v>82</v>
      </c>
      <c r="F75" s="48">
        <f>547425.47/1000000</f>
        <v>0.54742546999999997</v>
      </c>
      <c r="G75" s="55">
        <f>12151517.88/1000000</f>
        <v>12.15151788</v>
      </c>
      <c r="H75" s="55">
        <v>0</v>
      </c>
      <c r="I75" s="48">
        <v>0</v>
      </c>
      <c r="J75" s="48">
        <v>0</v>
      </c>
    </row>
    <row r="76" spans="1:10" ht="51" x14ac:dyDescent="0.25">
      <c r="A76" s="120" t="s">
        <v>2</v>
      </c>
      <c r="B76" s="14" t="s">
        <v>140</v>
      </c>
      <c r="C76" s="34" t="s">
        <v>339</v>
      </c>
      <c r="D76" s="55">
        <f>(113.022936/6.55957)*L8</f>
        <v>19.664867894824653</v>
      </c>
      <c r="E76" s="4" t="s">
        <v>141</v>
      </c>
      <c r="F76" s="48">
        <f>(19405179.41*L8)/1000000</f>
        <v>22.147131370525567</v>
      </c>
      <c r="G76" s="56">
        <v>0</v>
      </c>
      <c r="H76" s="174">
        <f>209077934.62/1000000</f>
        <v>209.07793462000001</v>
      </c>
      <c r="I76" s="48">
        <v>0</v>
      </c>
      <c r="J76" s="48">
        <v>0</v>
      </c>
    </row>
    <row r="77" spans="1:10" ht="28.5" x14ac:dyDescent="0.25">
      <c r="A77" s="132" t="s">
        <v>24</v>
      </c>
      <c r="B77" s="13"/>
      <c r="C77" s="34" t="s">
        <v>118</v>
      </c>
      <c r="D77" s="47">
        <f>300/L10</f>
        <v>11.494695925827639</v>
      </c>
      <c r="E77" s="2"/>
      <c r="F77" s="48">
        <f>2129.0538496/L10</f>
        <v>81.576088702882558</v>
      </c>
      <c r="G77" s="55">
        <f>9635453.26/1000000</f>
        <v>9.6354532600000002</v>
      </c>
      <c r="H77" s="47">
        <v>0</v>
      </c>
      <c r="I77" s="48">
        <v>0</v>
      </c>
      <c r="J77" s="48">
        <v>0</v>
      </c>
    </row>
    <row r="78" spans="1:10" ht="25.5" x14ac:dyDescent="0.25">
      <c r="A78" s="120" t="s">
        <v>1</v>
      </c>
      <c r="B78" s="14"/>
      <c r="C78" s="34" t="s">
        <v>136</v>
      </c>
      <c r="D78" s="55">
        <f>25.85424091*L8</f>
        <v>29.507445296996952</v>
      </c>
      <c r="E78" s="4" t="s">
        <v>110</v>
      </c>
      <c r="F78" s="48">
        <f>37.1701816*L8</f>
        <v>42.42232847057673</v>
      </c>
      <c r="G78" s="55">
        <v>0</v>
      </c>
      <c r="H78" s="174">
        <f>587849660.28/1000000</f>
        <v>587.84966027999997</v>
      </c>
      <c r="I78" s="48">
        <v>0</v>
      </c>
      <c r="J78" s="48">
        <v>0</v>
      </c>
    </row>
    <row r="79" spans="1:10" ht="51" x14ac:dyDescent="0.25">
      <c r="A79" s="185" t="s">
        <v>282</v>
      </c>
      <c r="B79" s="212" t="s">
        <v>277</v>
      </c>
      <c r="C79" s="16" t="s">
        <v>278</v>
      </c>
      <c r="D79" s="68">
        <v>4.0149999999999997</v>
      </c>
      <c r="E79" s="187" t="s">
        <v>280</v>
      </c>
      <c r="F79" s="48">
        <v>0.98499999999999999</v>
      </c>
      <c r="G79" s="55">
        <f>(454512.99*L10)/1000000</f>
        <v>11.862331798932061</v>
      </c>
      <c r="H79" s="69">
        <v>0</v>
      </c>
      <c r="I79" s="48">
        <v>0</v>
      </c>
      <c r="J79" s="48">
        <v>0</v>
      </c>
    </row>
    <row r="80" spans="1:10" ht="25.5" x14ac:dyDescent="0.25">
      <c r="A80" s="186"/>
      <c r="B80" s="213"/>
      <c r="C80" s="16" t="s">
        <v>279</v>
      </c>
      <c r="D80" s="68">
        <v>7.7196812799999996</v>
      </c>
      <c r="E80" s="188"/>
      <c r="F80" s="48">
        <v>1.4790000000000001</v>
      </c>
      <c r="G80" s="55">
        <f>(535169.61*L10)/1000000</f>
        <v>13.967388440372341</v>
      </c>
      <c r="H80" s="69">
        <v>0</v>
      </c>
      <c r="I80" s="48">
        <v>0</v>
      </c>
      <c r="J80" s="48">
        <v>0</v>
      </c>
    </row>
    <row r="81" spans="1:10" x14ac:dyDescent="0.25">
      <c r="A81" s="134" t="s">
        <v>283</v>
      </c>
      <c r="B81" s="34"/>
      <c r="C81" s="19" t="s">
        <v>281</v>
      </c>
      <c r="D81" s="55"/>
      <c r="E81" s="3"/>
      <c r="F81" s="48">
        <v>1.2609999999999999</v>
      </c>
      <c r="G81" s="55">
        <f>(7187.15*L10)/1000000</f>
        <v>0.1875773847271</v>
      </c>
      <c r="H81" s="151">
        <v>0</v>
      </c>
      <c r="I81" s="48">
        <v>0</v>
      </c>
      <c r="J81" s="48">
        <v>0</v>
      </c>
    </row>
    <row r="82" spans="1:10" x14ac:dyDescent="0.25">
      <c r="A82" s="134" t="s">
        <v>295</v>
      </c>
      <c r="B82" s="34"/>
      <c r="C82" s="2"/>
      <c r="D82" s="55"/>
      <c r="E82" s="3"/>
      <c r="F82" s="48">
        <v>0</v>
      </c>
      <c r="G82" s="55">
        <v>0</v>
      </c>
      <c r="H82" s="55">
        <v>0</v>
      </c>
      <c r="I82" s="48">
        <v>0</v>
      </c>
      <c r="J82" s="48">
        <v>0</v>
      </c>
    </row>
    <row r="83" spans="1:10" ht="25.5" x14ac:dyDescent="0.25">
      <c r="A83" s="135" t="s">
        <v>27</v>
      </c>
      <c r="B83" s="15" t="s">
        <v>217</v>
      </c>
      <c r="C83" s="16" t="s">
        <v>218</v>
      </c>
      <c r="D83" s="47">
        <v>5.44</v>
      </c>
      <c r="E83" s="4" t="s">
        <v>131</v>
      </c>
      <c r="F83" s="48">
        <v>9.9779999999999998</v>
      </c>
      <c r="G83" s="55">
        <v>0</v>
      </c>
      <c r="H83" s="55">
        <f>11547055/1000000</f>
        <v>11.547055</v>
      </c>
      <c r="I83" s="48">
        <v>0</v>
      </c>
      <c r="J83" s="48">
        <v>0</v>
      </c>
    </row>
    <row r="84" spans="1:10" ht="38.25" x14ac:dyDescent="0.25">
      <c r="A84" s="136" t="s">
        <v>250</v>
      </c>
      <c r="B84" s="16" t="s">
        <v>251</v>
      </c>
      <c r="C84" s="16" t="s">
        <v>252</v>
      </c>
      <c r="D84" s="49">
        <v>24.25</v>
      </c>
      <c r="E84" s="5" t="s">
        <v>253</v>
      </c>
      <c r="F84" s="48">
        <v>0</v>
      </c>
      <c r="G84" s="55">
        <v>0</v>
      </c>
      <c r="H84" s="55">
        <f>18061004.63/1000000</f>
        <v>18.061004629999999</v>
      </c>
      <c r="I84" s="48">
        <v>80.458731869999994</v>
      </c>
      <c r="J84" s="48">
        <f>24.85999568</f>
        <v>24.859995680000001</v>
      </c>
    </row>
    <row r="85" spans="1:10" ht="28.5" x14ac:dyDescent="0.25">
      <c r="A85" s="136" t="s">
        <v>219</v>
      </c>
      <c r="B85" s="16" t="s">
        <v>220</v>
      </c>
      <c r="C85" s="16" t="s">
        <v>221</v>
      </c>
      <c r="D85" s="49">
        <v>2.5880000000000001</v>
      </c>
      <c r="E85" s="5" t="s">
        <v>222</v>
      </c>
      <c r="F85" s="70">
        <v>0.32500000000000001</v>
      </c>
      <c r="G85" s="71">
        <f>1113895.94/1000000</f>
        <v>1.1138959399999999</v>
      </c>
      <c r="H85" s="71">
        <v>0</v>
      </c>
      <c r="I85" s="48">
        <v>0</v>
      </c>
      <c r="J85" s="48">
        <v>0</v>
      </c>
    </row>
    <row r="86" spans="1:10" x14ac:dyDescent="0.25">
      <c r="A86" s="136" t="s">
        <v>228</v>
      </c>
      <c r="B86" s="13"/>
      <c r="C86" s="19" t="s">
        <v>227</v>
      </c>
      <c r="D86" s="47"/>
      <c r="E86" s="3"/>
      <c r="F86" s="48">
        <v>0.95699999999999996</v>
      </c>
      <c r="G86" s="47">
        <f>2460242.71/1000000-2.23958493+0.71251955</f>
        <v>0.93317733000000025</v>
      </c>
      <c r="H86" s="47">
        <v>0</v>
      </c>
      <c r="I86" s="48">
        <v>0</v>
      </c>
      <c r="J86" s="48">
        <v>0</v>
      </c>
    </row>
    <row r="87" spans="1:10" x14ac:dyDescent="0.25">
      <c r="A87" s="136" t="s">
        <v>229</v>
      </c>
      <c r="B87" s="17"/>
      <c r="C87" s="5" t="s">
        <v>226</v>
      </c>
      <c r="D87" s="72"/>
      <c r="E87" s="18"/>
      <c r="F87" s="73">
        <v>0.25</v>
      </c>
      <c r="G87" s="67">
        <v>0.14654743000000001</v>
      </c>
      <c r="H87" s="47">
        <v>0</v>
      </c>
      <c r="I87" s="48">
        <f>2264120.12/1000000</f>
        <v>2.2641201200000003</v>
      </c>
      <c r="J87" s="48">
        <f>0.5+0.5+0.5</f>
        <v>1.5</v>
      </c>
    </row>
    <row r="88" spans="1:10" x14ac:dyDescent="0.25">
      <c r="A88" s="136" t="s">
        <v>231</v>
      </c>
      <c r="B88" s="13"/>
      <c r="C88" s="19" t="s">
        <v>230</v>
      </c>
      <c r="D88" s="47"/>
      <c r="E88" s="3"/>
      <c r="F88" s="48">
        <v>0</v>
      </c>
      <c r="G88" s="47">
        <v>0</v>
      </c>
      <c r="H88" s="47">
        <v>0</v>
      </c>
      <c r="I88" s="48">
        <f>19511817.69/1000000</f>
        <v>19.511817690000001</v>
      </c>
      <c r="J88" s="48">
        <f>4.4+1.65631222</f>
        <v>6.0563122200000006</v>
      </c>
    </row>
    <row r="89" spans="1:10" ht="28.5" x14ac:dyDescent="0.25">
      <c r="A89" s="126" t="s">
        <v>28</v>
      </c>
      <c r="B89" s="13"/>
      <c r="C89" s="19" t="s">
        <v>233</v>
      </c>
      <c r="D89" s="47"/>
      <c r="E89" s="3"/>
      <c r="F89" s="48">
        <v>6.0000000000000001E-3</v>
      </c>
      <c r="G89" s="47">
        <v>0</v>
      </c>
      <c r="H89" s="47">
        <v>0</v>
      </c>
      <c r="I89" s="48">
        <v>0</v>
      </c>
      <c r="J89" s="48">
        <v>0</v>
      </c>
    </row>
    <row r="90" spans="1:10" x14ac:dyDescent="0.25">
      <c r="A90" s="136" t="s">
        <v>234</v>
      </c>
      <c r="B90" s="13"/>
      <c r="C90" s="19" t="s">
        <v>232</v>
      </c>
      <c r="D90" s="47"/>
      <c r="E90" s="3"/>
      <c r="F90" s="48">
        <v>3.7999999999999999E-2</v>
      </c>
      <c r="G90" s="47">
        <v>0</v>
      </c>
      <c r="H90" s="47">
        <v>0</v>
      </c>
      <c r="I90" s="48">
        <v>0</v>
      </c>
      <c r="J90" s="48">
        <v>0</v>
      </c>
    </row>
    <row r="91" spans="1:10" ht="28.5" x14ac:dyDescent="0.25">
      <c r="A91" s="137" t="s">
        <v>289</v>
      </c>
      <c r="B91" s="16"/>
      <c r="C91" s="16" t="s">
        <v>290</v>
      </c>
      <c r="D91" s="68"/>
      <c r="E91" s="5"/>
      <c r="F91" s="74">
        <v>1.4E-2</v>
      </c>
      <c r="G91" s="172">
        <v>2.6185469999999999E-2</v>
      </c>
      <c r="H91" s="172">
        <v>0</v>
      </c>
      <c r="I91" s="75">
        <f>3420296.63/1000000</f>
        <v>3.4202966299999997</v>
      </c>
      <c r="J91" s="75">
        <f>2.0864285+0.18105197+0.28147816</f>
        <v>2.5489586299999996</v>
      </c>
    </row>
    <row r="92" spans="1:10" x14ac:dyDescent="0.25">
      <c r="A92" s="136" t="s">
        <v>235</v>
      </c>
      <c r="B92" s="13"/>
      <c r="C92" s="19" t="s">
        <v>236</v>
      </c>
      <c r="D92" s="47"/>
      <c r="E92" s="3"/>
      <c r="F92" s="48">
        <v>0.879</v>
      </c>
      <c r="G92" s="47">
        <v>0.50772282000000002</v>
      </c>
      <c r="H92" s="47">
        <v>0</v>
      </c>
      <c r="I92" s="48">
        <f>2018886.12/1000000</f>
        <v>2.0188861199999999</v>
      </c>
      <c r="J92" s="48">
        <v>0</v>
      </c>
    </row>
    <row r="93" spans="1:10" x14ac:dyDescent="0.25">
      <c r="A93" s="137" t="s">
        <v>237</v>
      </c>
      <c r="B93" s="16"/>
      <c r="C93" s="16" t="s">
        <v>238</v>
      </c>
      <c r="D93" s="47"/>
      <c r="E93" s="3"/>
      <c r="F93" s="48">
        <v>0.19400000000000001</v>
      </c>
      <c r="G93" s="76">
        <v>0.17050510999999999</v>
      </c>
      <c r="H93" s="76">
        <v>0</v>
      </c>
      <c r="I93" s="48">
        <f>4246640.06/1000000</f>
        <v>4.2466400599999998</v>
      </c>
      <c r="J93" s="48">
        <f>4.591578</f>
        <v>4.5915780000000002</v>
      </c>
    </row>
    <row r="94" spans="1:10" x14ac:dyDescent="0.25">
      <c r="A94" s="208" t="s">
        <v>239</v>
      </c>
      <c r="B94" s="21"/>
      <c r="C94" s="16" t="s">
        <v>240</v>
      </c>
      <c r="D94" s="67"/>
      <c r="E94" s="3"/>
      <c r="F94" s="48">
        <v>0.373</v>
      </c>
      <c r="G94" s="76">
        <v>0.24861098000000001</v>
      </c>
      <c r="H94" s="76">
        <v>0</v>
      </c>
      <c r="I94" s="175">
        <v>0.85274766999999996</v>
      </c>
      <c r="J94" s="175">
        <f>1+1+0.1879846+0.19201256</f>
        <v>2.3799971600000003</v>
      </c>
    </row>
    <row r="95" spans="1:10" x14ac:dyDescent="0.25">
      <c r="A95" s="209"/>
      <c r="B95" s="21"/>
      <c r="C95" s="16" t="s">
        <v>241</v>
      </c>
      <c r="D95" s="67"/>
      <c r="E95" s="3"/>
      <c r="F95" s="48">
        <v>0.45700000000000002</v>
      </c>
      <c r="G95" s="76">
        <v>0.25603429999999999</v>
      </c>
      <c r="H95" s="76">
        <v>0</v>
      </c>
      <c r="I95" s="176"/>
      <c r="J95" s="176"/>
    </row>
    <row r="96" spans="1:10" x14ac:dyDescent="0.25">
      <c r="A96" s="137" t="s">
        <v>242</v>
      </c>
      <c r="B96" s="16"/>
      <c r="C96" s="16" t="s">
        <v>243</v>
      </c>
      <c r="D96" s="67"/>
      <c r="E96" s="3"/>
      <c r="F96" s="48">
        <v>2.8000000000000001E-2</v>
      </c>
      <c r="G96" s="76">
        <v>0</v>
      </c>
      <c r="H96" s="76">
        <v>0</v>
      </c>
      <c r="I96" s="48">
        <v>4.4855575200000004</v>
      </c>
      <c r="J96" s="48">
        <f>0.45+0.3+0.8</f>
        <v>1.55</v>
      </c>
    </row>
    <row r="97" spans="1:10" ht="28.5" x14ac:dyDescent="0.25">
      <c r="A97" s="138" t="s">
        <v>244</v>
      </c>
      <c r="B97" s="16"/>
      <c r="C97" s="16" t="s">
        <v>245</v>
      </c>
      <c r="D97" s="47"/>
      <c r="E97" s="3"/>
      <c r="F97" s="48">
        <v>0.55400000000000005</v>
      </c>
      <c r="G97" s="47">
        <v>0.31956833000000001</v>
      </c>
      <c r="H97" s="47">
        <v>0</v>
      </c>
      <c r="I97" s="48">
        <v>1</v>
      </c>
      <c r="J97" s="48">
        <f>1.64219305</f>
        <v>1.6421930499999999</v>
      </c>
    </row>
    <row r="98" spans="1:10" x14ac:dyDescent="0.25">
      <c r="A98" s="138" t="s">
        <v>248</v>
      </c>
      <c r="B98" s="20"/>
      <c r="C98" s="16" t="s">
        <v>246</v>
      </c>
      <c r="D98" s="47"/>
      <c r="E98" s="3"/>
      <c r="F98" s="48">
        <v>0</v>
      </c>
      <c r="G98" s="76">
        <v>0</v>
      </c>
      <c r="H98" s="76">
        <v>0</v>
      </c>
      <c r="I98" s="48">
        <v>9.2748164099999997</v>
      </c>
      <c r="J98" s="48">
        <f>4.85219754</f>
        <v>4.8521975399999997</v>
      </c>
    </row>
    <row r="99" spans="1:10" x14ac:dyDescent="0.25">
      <c r="A99" s="138" t="s">
        <v>247</v>
      </c>
      <c r="B99" s="20"/>
      <c r="C99" s="16" t="s">
        <v>249</v>
      </c>
      <c r="D99" s="47"/>
      <c r="E99" s="3"/>
      <c r="F99" s="48">
        <v>0.34899999999999998</v>
      </c>
      <c r="G99" s="76">
        <v>0</v>
      </c>
      <c r="H99" s="76">
        <v>0</v>
      </c>
      <c r="I99" s="48">
        <v>10.3435448</v>
      </c>
      <c r="J99" s="48">
        <f>1.62714216+5.29080479+5.95842722+0.39529167+0.26098994</f>
        <v>13.532655780000001</v>
      </c>
    </row>
    <row r="100" spans="1:10" x14ac:dyDescent="0.25">
      <c r="A100" s="138" t="s">
        <v>254</v>
      </c>
      <c r="B100" s="22"/>
      <c r="C100" s="16" t="s">
        <v>255</v>
      </c>
      <c r="D100" s="77"/>
      <c r="E100" s="23"/>
      <c r="F100" s="78">
        <v>0</v>
      </c>
      <c r="G100" s="79">
        <v>9.2077069999999997E-2</v>
      </c>
      <c r="H100" s="76">
        <v>0</v>
      </c>
      <c r="I100" s="48">
        <v>5.4213355400000003</v>
      </c>
      <c r="J100" s="48">
        <f>1.12829678+6.08637903</f>
        <v>7.2146758100000001</v>
      </c>
    </row>
    <row r="101" spans="1:10" x14ac:dyDescent="0.25">
      <c r="A101" s="210" t="s">
        <v>347</v>
      </c>
      <c r="B101" s="16"/>
      <c r="C101" s="16" t="s">
        <v>256</v>
      </c>
      <c r="D101" s="77"/>
      <c r="E101" s="23"/>
      <c r="F101" s="78">
        <v>0</v>
      </c>
      <c r="G101" s="79">
        <v>0</v>
      </c>
      <c r="H101" s="76">
        <v>0</v>
      </c>
      <c r="I101" s="175">
        <v>63.995278579999997</v>
      </c>
      <c r="J101" s="175">
        <f>25.39046295+9.17635334</f>
        <v>34.566816289999998</v>
      </c>
    </row>
    <row r="102" spans="1:10" x14ac:dyDescent="0.25">
      <c r="A102" s="211"/>
      <c r="B102" s="16"/>
      <c r="C102" s="16" t="s">
        <v>257</v>
      </c>
      <c r="D102" s="77"/>
      <c r="E102" s="23"/>
      <c r="F102" s="78">
        <v>0</v>
      </c>
      <c r="G102" s="79">
        <v>0</v>
      </c>
      <c r="H102" s="76">
        <v>0</v>
      </c>
      <c r="I102" s="176"/>
      <c r="J102" s="176"/>
    </row>
    <row r="103" spans="1:10" x14ac:dyDescent="0.25">
      <c r="A103" s="210" t="s">
        <v>258</v>
      </c>
      <c r="B103" s="16"/>
      <c r="C103" s="16" t="s">
        <v>259</v>
      </c>
      <c r="D103" s="77"/>
      <c r="E103" s="23"/>
      <c r="F103" s="78">
        <v>0</v>
      </c>
      <c r="G103" s="79">
        <v>0</v>
      </c>
      <c r="H103" s="76">
        <v>0</v>
      </c>
      <c r="I103" s="175">
        <v>26.15745634</v>
      </c>
      <c r="J103" s="175">
        <f>1.08101196+6.45743756+10.60420398+7.0903758</f>
        <v>25.233029300000002</v>
      </c>
    </row>
    <row r="104" spans="1:10" x14ac:dyDescent="0.25">
      <c r="A104" s="211"/>
      <c r="B104" s="16"/>
      <c r="C104" s="16" t="s">
        <v>260</v>
      </c>
      <c r="D104" s="77"/>
      <c r="E104" s="23"/>
      <c r="F104" s="78">
        <v>0</v>
      </c>
      <c r="G104" s="79">
        <v>0</v>
      </c>
      <c r="H104" s="76">
        <v>0</v>
      </c>
      <c r="I104" s="176"/>
      <c r="J104" s="176"/>
    </row>
    <row r="105" spans="1:10" x14ac:dyDescent="0.25">
      <c r="A105" s="197" t="s">
        <v>353</v>
      </c>
      <c r="B105" s="167"/>
      <c r="C105" s="16" t="s">
        <v>263</v>
      </c>
      <c r="D105" s="47"/>
      <c r="E105" s="3"/>
      <c r="F105" s="48">
        <v>0</v>
      </c>
      <c r="G105" s="47">
        <v>0</v>
      </c>
      <c r="H105" s="47">
        <v>0</v>
      </c>
      <c r="I105" s="48">
        <v>59.277243939999998</v>
      </c>
      <c r="J105" s="48">
        <f>30.07686989</f>
        <v>30.076869890000001</v>
      </c>
    </row>
    <row r="106" spans="1:10" ht="25.5" x14ac:dyDescent="0.25">
      <c r="A106" s="198"/>
      <c r="B106" s="34"/>
      <c r="C106" s="34" t="s">
        <v>265</v>
      </c>
      <c r="D106" s="47"/>
      <c r="E106" s="3"/>
      <c r="F106" s="48">
        <v>0</v>
      </c>
      <c r="G106" s="47">
        <v>0</v>
      </c>
      <c r="H106" s="47">
        <v>0</v>
      </c>
      <c r="I106" s="48">
        <v>230.84420845</v>
      </c>
      <c r="J106" s="48">
        <f>151.53199189</f>
        <v>151.53199189</v>
      </c>
    </row>
    <row r="107" spans="1:10" ht="12.75" customHeight="1" x14ac:dyDescent="0.25">
      <c r="A107" s="198"/>
      <c r="B107" s="34" t="s">
        <v>264</v>
      </c>
      <c r="C107" s="34" t="s">
        <v>267</v>
      </c>
      <c r="D107" s="47">
        <v>200</v>
      </c>
      <c r="E107" s="3"/>
      <c r="F107" s="48">
        <v>0</v>
      </c>
      <c r="G107" s="47">
        <v>0</v>
      </c>
      <c r="H107" s="47">
        <v>0</v>
      </c>
      <c r="I107" s="48">
        <v>271.37309622999999</v>
      </c>
      <c r="J107" s="48">
        <f>144.23861238</f>
        <v>144.23861238000001</v>
      </c>
    </row>
    <row r="108" spans="1:10" ht="25.5" x14ac:dyDescent="0.25">
      <c r="A108" s="199"/>
      <c r="B108" s="165"/>
      <c r="C108" s="159" t="s">
        <v>266</v>
      </c>
      <c r="D108" s="166"/>
      <c r="E108" s="30"/>
      <c r="F108" s="158">
        <v>0</v>
      </c>
      <c r="G108" s="157">
        <v>0</v>
      </c>
      <c r="H108" s="157">
        <v>0</v>
      </c>
      <c r="I108" s="158">
        <v>450.47039620999999</v>
      </c>
      <c r="J108" s="158">
        <f>251.48501446</f>
        <v>251.48501446</v>
      </c>
    </row>
    <row r="109" spans="1:10" x14ac:dyDescent="0.25">
      <c r="A109" s="197" t="s">
        <v>268</v>
      </c>
      <c r="B109" s="161"/>
      <c r="C109" s="16" t="s">
        <v>355</v>
      </c>
      <c r="D109" s="47"/>
      <c r="E109" s="8"/>
      <c r="F109" s="48">
        <v>-1E-3</v>
      </c>
      <c r="G109" s="57">
        <v>0</v>
      </c>
      <c r="H109" s="47">
        <v>0</v>
      </c>
      <c r="I109" s="48">
        <v>20.934904620000001</v>
      </c>
      <c r="J109" s="48">
        <f>22.96959812</f>
        <v>22.969598120000001</v>
      </c>
    </row>
    <row r="110" spans="1:10" ht="15" customHeight="1" x14ac:dyDescent="0.25">
      <c r="A110" s="198"/>
      <c r="B110" s="16"/>
      <c r="C110" s="16" t="s">
        <v>269</v>
      </c>
      <c r="D110" s="47"/>
      <c r="E110" s="8"/>
      <c r="F110" s="64">
        <v>-2E-3</v>
      </c>
      <c r="G110" s="47">
        <v>0</v>
      </c>
      <c r="H110" s="47">
        <v>0</v>
      </c>
      <c r="I110" s="48">
        <v>0</v>
      </c>
      <c r="J110" s="48">
        <v>0</v>
      </c>
    </row>
    <row r="111" spans="1:10" x14ac:dyDescent="0.25">
      <c r="A111" s="198"/>
      <c r="B111" s="16"/>
      <c r="C111" s="16" t="s">
        <v>288</v>
      </c>
      <c r="D111" s="47"/>
      <c r="E111" s="8"/>
      <c r="F111" s="64">
        <v>-3.0000000000000001E-3</v>
      </c>
      <c r="G111" s="47"/>
      <c r="H111" s="47">
        <v>0</v>
      </c>
      <c r="I111" s="48">
        <v>201.48064181999999</v>
      </c>
      <c r="J111" s="48">
        <f>110.0186955</f>
        <v>110.01869550000001</v>
      </c>
    </row>
    <row r="112" spans="1:10" x14ac:dyDescent="0.25">
      <c r="A112" s="199"/>
      <c r="B112" s="16"/>
      <c r="C112" s="16" t="s">
        <v>350</v>
      </c>
      <c r="D112" s="47"/>
      <c r="E112" s="8"/>
      <c r="F112" s="64">
        <v>0</v>
      </c>
      <c r="G112" s="47">
        <v>0</v>
      </c>
      <c r="H112" s="47">
        <v>0</v>
      </c>
      <c r="I112" s="48">
        <v>257.42946068999998</v>
      </c>
      <c r="J112" s="48">
        <f>135.77121978</f>
        <v>135.77121978</v>
      </c>
    </row>
    <row r="113" spans="1:12" x14ac:dyDescent="0.25">
      <c r="A113" s="129" t="s">
        <v>261</v>
      </c>
      <c r="B113" s="16"/>
      <c r="C113" s="19" t="s">
        <v>262</v>
      </c>
      <c r="D113" s="47"/>
      <c r="E113" s="8"/>
      <c r="F113" s="64">
        <v>0</v>
      </c>
      <c r="G113" s="63">
        <v>0</v>
      </c>
      <c r="H113" s="63">
        <v>0</v>
      </c>
      <c r="I113" s="64">
        <v>30.19319935</v>
      </c>
      <c r="J113" s="64">
        <v>0</v>
      </c>
    </row>
    <row r="114" spans="1:12" ht="25.5" customHeight="1" x14ac:dyDescent="0.25">
      <c r="A114" s="197" t="s">
        <v>272</v>
      </c>
      <c r="B114" s="2"/>
      <c r="C114" s="4" t="s">
        <v>271</v>
      </c>
      <c r="D114" s="47"/>
      <c r="E114" s="3"/>
      <c r="F114" s="64">
        <v>-0.10199999999999999</v>
      </c>
      <c r="G114" s="80">
        <f>1.676</f>
        <v>1.6759999999999999</v>
      </c>
      <c r="H114" s="80">
        <v>0</v>
      </c>
      <c r="I114" s="64">
        <v>638.44787000999997</v>
      </c>
      <c r="J114" s="64">
        <f>370.46468033</f>
        <v>370.46468033000002</v>
      </c>
    </row>
    <row r="115" spans="1:12" ht="25.5" customHeight="1" x14ac:dyDescent="0.25">
      <c r="A115" s="198"/>
      <c r="B115" s="3"/>
      <c r="C115" s="4" t="s">
        <v>328</v>
      </c>
      <c r="D115" s="47"/>
      <c r="E115" s="4"/>
      <c r="F115" s="64">
        <v>-1.6E-2</v>
      </c>
      <c r="G115" s="80">
        <v>0</v>
      </c>
      <c r="H115" s="80">
        <v>0</v>
      </c>
      <c r="I115" s="64">
        <v>0</v>
      </c>
      <c r="J115" s="64">
        <v>0</v>
      </c>
    </row>
    <row r="116" spans="1:12" x14ac:dyDescent="0.25">
      <c r="A116" s="198"/>
      <c r="B116" s="3"/>
      <c r="C116" s="4" t="s">
        <v>274</v>
      </c>
      <c r="D116" s="47"/>
      <c r="E116" s="4"/>
      <c r="F116" s="64">
        <v>-6.0999999999999999E-2</v>
      </c>
      <c r="G116" s="80">
        <v>0</v>
      </c>
      <c r="H116" s="80">
        <v>0</v>
      </c>
      <c r="I116" s="64">
        <v>498.72248386000001</v>
      </c>
      <c r="J116" s="64">
        <f>246.53922594</f>
        <v>246.53922593999999</v>
      </c>
    </row>
    <row r="117" spans="1:12" ht="25.5" x14ac:dyDescent="0.25">
      <c r="A117" s="198"/>
      <c r="B117" s="3"/>
      <c r="C117" s="4" t="s">
        <v>329</v>
      </c>
      <c r="D117" s="47"/>
      <c r="E117" s="4"/>
      <c r="F117" s="64">
        <v>3.6999999999999998E-2</v>
      </c>
      <c r="G117" s="80">
        <v>0</v>
      </c>
      <c r="H117" s="80">
        <v>0</v>
      </c>
      <c r="I117" s="64">
        <v>316.53551845999999</v>
      </c>
      <c r="J117" s="64">
        <f>189.94498648</f>
        <v>189.94498648000001</v>
      </c>
    </row>
    <row r="118" spans="1:12" ht="25.5" x14ac:dyDescent="0.25">
      <c r="A118" s="198"/>
      <c r="B118" s="3"/>
      <c r="C118" s="4" t="s">
        <v>330</v>
      </c>
      <c r="D118" s="47"/>
      <c r="E118" s="4"/>
      <c r="F118" s="64">
        <v>-8.0000000000000002E-3</v>
      </c>
      <c r="G118" s="80">
        <v>7.0999999999999994E-2</v>
      </c>
      <c r="H118" s="80">
        <v>0</v>
      </c>
      <c r="I118" s="64">
        <v>0</v>
      </c>
      <c r="J118" s="64">
        <v>0</v>
      </c>
    </row>
    <row r="119" spans="1:12" x14ac:dyDescent="0.25">
      <c r="A119" s="198"/>
      <c r="B119" s="3"/>
      <c r="C119" s="4" t="s">
        <v>275</v>
      </c>
      <c r="D119" s="47"/>
      <c r="E119" s="4"/>
      <c r="F119" s="64">
        <v>-0.03</v>
      </c>
      <c r="G119" s="80">
        <v>0.59199999999999997</v>
      </c>
      <c r="H119" s="152">
        <v>0</v>
      </c>
      <c r="I119" s="64">
        <v>236.75754814999999</v>
      </c>
      <c r="J119" s="64">
        <f>120.24509798</f>
        <v>120.24509798</v>
      </c>
    </row>
    <row r="120" spans="1:12" x14ac:dyDescent="0.25">
      <c r="A120" s="199"/>
      <c r="B120" s="3"/>
      <c r="C120" s="4" t="s">
        <v>276</v>
      </c>
      <c r="D120" s="47"/>
      <c r="E120" s="4"/>
      <c r="F120" s="64">
        <v>1.9E-2</v>
      </c>
      <c r="G120" s="80">
        <v>0</v>
      </c>
      <c r="H120" s="80">
        <v>0</v>
      </c>
      <c r="I120" s="64">
        <v>318.31149125000002</v>
      </c>
      <c r="J120" s="64">
        <f>201.69812547</f>
        <v>201.69812547000001</v>
      </c>
    </row>
    <row r="121" spans="1:12" ht="42.75" x14ac:dyDescent="0.25">
      <c r="A121" s="139" t="s">
        <v>270</v>
      </c>
      <c r="B121" s="29"/>
      <c r="C121" s="159" t="s">
        <v>273</v>
      </c>
      <c r="D121" s="71">
        <v>20</v>
      </c>
      <c r="E121" s="164"/>
      <c r="F121" s="160">
        <v>2.4239999999999999</v>
      </c>
      <c r="G121" s="81"/>
      <c r="H121" s="81">
        <f>(1446125.62+5320.28+442.09)/1000000</f>
        <v>1.4518879900000001</v>
      </c>
      <c r="I121" s="160">
        <v>0</v>
      </c>
      <c r="J121" s="160">
        <v>0</v>
      </c>
    </row>
    <row r="122" spans="1:12" ht="28.5" x14ac:dyDescent="0.25">
      <c r="A122" s="139" t="s">
        <v>334</v>
      </c>
      <c r="B122" s="29"/>
      <c r="C122" s="31" t="s">
        <v>335</v>
      </c>
      <c r="D122" s="71">
        <f>(53574689*L8)/1000000</f>
        <v>61.144792859096334</v>
      </c>
      <c r="E122" s="35" t="s">
        <v>296</v>
      </c>
      <c r="F122" s="104">
        <v>0</v>
      </c>
      <c r="G122" s="81">
        <v>0</v>
      </c>
      <c r="H122" s="81">
        <v>0</v>
      </c>
      <c r="I122" s="155">
        <v>0</v>
      </c>
      <c r="J122" s="104">
        <v>0</v>
      </c>
    </row>
    <row r="123" spans="1:12" ht="15.75" thickBot="1" x14ac:dyDescent="0.3">
      <c r="A123" s="162" t="s">
        <v>351</v>
      </c>
      <c r="B123" s="29"/>
      <c r="C123" s="159" t="s">
        <v>352</v>
      </c>
      <c r="D123" s="71"/>
      <c r="E123" s="164"/>
      <c r="F123" s="160">
        <v>0</v>
      </c>
      <c r="G123" s="81">
        <v>-1.6E-2</v>
      </c>
      <c r="H123" s="81">
        <v>0</v>
      </c>
      <c r="I123" s="160">
        <v>0</v>
      </c>
      <c r="J123" s="160">
        <v>0</v>
      </c>
    </row>
    <row r="124" spans="1:12" s="87" customFormat="1" ht="15.75" customHeight="1" thickBot="1" x14ac:dyDescent="0.25">
      <c r="A124" s="168" t="s">
        <v>341</v>
      </c>
      <c r="B124" s="82"/>
      <c r="C124" s="83"/>
      <c r="D124" s="84"/>
      <c r="E124" s="83"/>
      <c r="F124" s="85">
        <f>SUM(F11:F122)</f>
        <v>1688.824606945426</v>
      </c>
      <c r="G124" s="82"/>
      <c r="H124" s="84"/>
      <c r="I124" s="86">
        <f>SUM(I11:I120)</f>
        <v>4362.7408494599995</v>
      </c>
      <c r="J124" s="169">
        <f>SUM(J11:J120)</f>
        <v>2523.1688639700001</v>
      </c>
      <c r="L124" s="88"/>
    </row>
    <row r="125" spans="1:12" s="89" customFormat="1" ht="27" customHeight="1" x14ac:dyDescent="0.25">
      <c r="A125" s="220" t="s">
        <v>340</v>
      </c>
      <c r="B125" s="221"/>
      <c r="C125" s="221"/>
      <c r="D125" s="221"/>
      <c r="E125" s="221"/>
      <c r="F125" s="221"/>
      <c r="G125" s="221"/>
      <c r="H125" s="221"/>
      <c r="I125" s="221"/>
      <c r="J125" s="222"/>
      <c r="L125" s="90"/>
    </row>
    <row r="126" spans="1:12" s="93" customFormat="1" ht="25.5" x14ac:dyDescent="0.25">
      <c r="A126" s="126" t="s">
        <v>36</v>
      </c>
      <c r="B126" s="34" t="s">
        <v>96</v>
      </c>
      <c r="C126" s="34" t="s">
        <v>97</v>
      </c>
      <c r="D126" s="55">
        <f>0.96017138*L8</f>
        <v>1.0958436014315021</v>
      </c>
      <c r="E126" s="52" t="s">
        <v>82</v>
      </c>
      <c r="F126" s="91">
        <f>0.58667572*L8</f>
        <v>0.66957300255837604</v>
      </c>
      <c r="G126" s="55">
        <v>0</v>
      </c>
      <c r="H126" s="55">
        <f>6700456.1/1000000</f>
        <v>6.7004560999999994</v>
      </c>
      <c r="I126" s="92">
        <v>0</v>
      </c>
      <c r="J126" s="91">
        <v>0</v>
      </c>
    </row>
    <row r="127" spans="1:12" s="93" customFormat="1" ht="25.5" x14ac:dyDescent="0.25">
      <c r="A127" s="128" t="s">
        <v>39</v>
      </c>
      <c r="B127" s="32" t="s">
        <v>78</v>
      </c>
      <c r="C127" s="32" t="s">
        <v>79</v>
      </c>
      <c r="D127" s="94">
        <f>24.01892547*L8</f>
        <v>27.412799774931461</v>
      </c>
      <c r="E127" s="36" t="s">
        <v>73</v>
      </c>
      <c r="F127" s="96">
        <f>18.25801109*L8</f>
        <v>20.837868160413095</v>
      </c>
      <c r="G127" s="55">
        <v>0</v>
      </c>
      <c r="H127" s="55">
        <f>112161723.56/1000000</f>
        <v>112.16172356</v>
      </c>
      <c r="I127" s="95">
        <v>0</v>
      </c>
      <c r="J127" s="96">
        <v>0</v>
      </c>
    </row>
    <row r="128" spans="1:12" s="93" customFormat="1" ht="25.5" x14ac:dyDescent="0.25">
      <c r="A128" s="140" t="s">
        <v>29</v>
      </c>
      <c r="B128" s="34" t="s">
        <v>106</v>
      </c>
      <c r="C128" s="34" t="s">
        <v>107</v>
      </c>
      <c r="D128" s="55">
        <f>1.50575459*L8</f>
        <v>1.718517722094169</v>
      </c>
      <c r="E128" s="4" t="s">
        <v>73</v>
      </c>
      <c r="F128" s="96">
        <f>0.74601129*L8</f>
        <v>0.85142268950170186</v>
      </c>
      <c r="G128" s="66">
        <v>0</v>
      </c>
      <c r="H128" s="55">
        <f>8448765.01/1000000</f>
        <v>8.4487650099999989</v>
      </c>
      <c r="I128" s="95">
        <v>0</v>
      </c>
      <c r="J128" s="96">
        <v>0</v>
      </c>
    </row>
    <row r="129" spans="1:10" s="93" customFormat="1" ht="25.5" x14ac:dyDescent="0.25">
      <c r="A129" s="139" t="s">
        <v>30</v>
      </c>
      <c r="B129" s="34" t="s">
        <v>115</v>
      </c>
      <c r="C129" s="34" t="s">
        <v>109</v>
      </c>
      <c r="D129" s="62">
        <f>30.62651271*L8</f>
        <v>34.954039129362585</v>
      </c>
      <c r="E129" s="4" t="s">
        <v>110</v>
      </c>
      <c r="F129" s="96">
        <f>43.42995075*L8</f>
        <v>49.566603036921144</v>
      </c>
      <c r="G129" s="66">
        <v>0</v>
      </c>
      <c r="H129" s="55">
        <f>238313103.72/1000000</f>
        <v>238.31310371999999</v>
      </c>
      <c r="I129" s="95">
        <v>0</v>
      </c>
      <c r="J129" s="96">
        <v>0</v>
      </c>
    </row>
    <row r="130" spans="1:10" s="93" customFormat="1" ht="25.5" x14ac:dyDescent="0.25">
      <c r="A130" s="120" t="s">
        <v>40</v>
      </c>
      <c r="B130" s="34" t="s">
        <v>104</v>
      </c>
      <c r="C130" s="34" t="s">
        <v>105</v>
      </c>
      <c r="D130" s="62">
        <f>4.08414995*L8</f>
        <v>4.6612403610637596</v>
      </c>
      <c r="E130" s="8" t="s">
        <v>82</v>
      </c>
      <c r="F130" s="96">
        <f>3.470193*L8</f>
        <v>3.9605312905518888</v>
      </c>
      <c r="G130" s="66">
        <v>0</v>
      </c>
      <c r="H130" s="55">
        <f>13328598.36/1000000</f>
        <v>13.328598359999999</v>
      </c>
      <c r="I130" s="95">
        <v>0</v>
      </c>
      <c r="J130" s="96">
        <v>0</v>
      </c>
    </row>
    <row r="131" spans="1:10" s="93" customFormat="1" ht="25.5" x14ac:dyDescent="0.25">
      <c r="A131" s="139" t="s">
        <v>49</v>
      </c>
      <c r="B131" s="34" t="s">
        <v>86</v>
      </c>
      <c r="C131" s="34" t="s">
        <v>89</v>
      </c>
      <c r="D131" s="55">
        <f>4.60162693*L8</f>
        <v>5.2518368412682603</v>
      </c>
      <c r="E131" s="8" t="s">
        <v>88</v>
      </c>
      <c r="F131" s="96">
        <f>4.79673309*L8</f>
        <v>5.4745115027811568</v>
      </c>
      <c r="G131" s="66">
        <v>0</v>
      </c>
      <c r="H131" s="55">
        <f>29257232.5/1000000</f>
        <v>29.257232500000001</v>
      </c>
      <c r="I131" s="95">
        <v>0</v>
      </c>
      <c r="J131" s="96">
        <v>0</v>
      </c>
    </row>
    <row r="132" spans="1:10" s="93" customFormat="1" ht="25.5" x14ac:dyDescent="0.25">
      <c r="A132" s="141" t="s">
        <v>44</v>
      </c>
      <c r="B132" s="5" t="s">
        <v>172</v>
      </c>
      <c r="C132" s="5" t="s">
        <v>173</v>
      </c>
      <c r="D132" s="55">
        <f>4.01395111*L8</f>
        <v>4.5811224245742199</v>
      </c>
      <c r="E132" s="8" t="s">
        <v>82</v>
      </c>
      <c r="F132" s="96">
        <f>0.08791873*L8</f>
        <v>0.10034164704688847</v>
      </c>
      <c r="G132" s="66">
        <v>0</v>
      </c>
      <c r="H132" s="55">
        <f>1383395.62/1000000</f>
        <v>1.3833956200000002</v>
      </c>
      <c r="I132" s="95">
        <v>0</v>
      </c>
      <c r="J132" s="96">
        <v>0</v>
      </c>
    </row>
    <row r="133" spans="1:10" s="93" customFormat="1" ht="25.5" x14ac:dyDescent="0.25">
      <c r="A133" s="120" t="s">
        <v>45</v>
      </c>
      <c r="B133" s="34" t="s">
        <v>148</v>
      </c>
      <c r="C133" s="34" t="s">
        <v>149</v>
      </c>
      <c r="D133" s="55">
        <v>24.9132155</v>
      </c>
      <c r="E133" s="8" t="s">
        <v>147</v>
      </c>
      <c r="F133" s="96">
        <v>30.620461989999999</v>
      </c>
      <c r="G133" s="66">
        <v>0</v>
      </c>
      <c r="H133" s="55">
        <f>38562168.66/1000000</f>
        <v>38.562168659999998</v>
      </c>
      <c r="I133" s="95">
        <v>0</v>
      </c>
      <c r="J133" s="96">
        <v>0</v>
      </c>
    </row>
    <row r="134" spans="1:10" s="93" customFormat="1" ht="15" customHeight="1" x14ac:dyDescent="0.25">
      <c r="A134" s="142" t="s">
        <v>68</v>
      </c>
      <c r="B134" s="2"/>
      <c r="C134" s="2"/>
      <c r="D134" s="55"/>
      <c r="E134" s="3"/>
      <c r="F134" s="177">
        <f>4.67941208*L8</f>
        <v>5.3406130334037609</v>
      </c>
      <c r="G134" s="66">
        <v>0</v>
      </c>
      <c r="H134" s="55">
        <v>0</v>
      </c>
      <c r="I134" s="95">
        <v>0</v>
      </c>
      <c r="J134" s="96">
        <v>0</v>
      </c>
    </row>
    <row r="135" spans="1:10" s="93" customFormat="1" x14ac:dyDescent="0.25">
      <c r="A135" s="142" t="s">
        <v>69</v>
      </c>
      <c r="B135" s="3"/>
      <c r="C135" s="2"/>
      <c r="D135" s="55"/>
      <c r="E135" s="3"/>
      <c r="F135" s="178"/>
      <c r="G135" s="66">
        <v>0</v>
      </c>
      <c r="H135" s="97">
        <f>25013182.06/1000000</f>
        <v>25.013182059999998</v>
      </c>
      <c r="I135" s="95">
        <v>0</v>
      </c>
      <c r="J135" s="96">
        <v>0</v>
      </c>
    </row>
    <row r="136" spans="1:10" s="93" customFormat="1" ht="25.5" x14ac:dyDescent="0.25">
      <c r="A136" s="139" t="s">
        <v>31</v>
      </c>
      <c r="B136" s="34" t="s">
        <v>108</v>
      </c>
      <c r="C136" s="34" t="s">
        <v>109</v>
      </c>
      <c r="D136" s="62">
        <f>0.35271312*L8</f>
        <v>0.40255148585343326</v>
      </c>
      <c r="E136" s="4" t="s">
        <v>110</v>
      </c>
      <c r="F136" s="96">
        <f>0.44979077*L8</f>
        <v>0.51334620834818923</v>
      </c>
      <c r="G136" s="66">
        <v>0</v>
      </c>
      <c r="H136" s="55">
        <f>1051695.43/1000000</f>
        <v>1.0516954299999999</v>
      </c>
      <c r="I136" s="95">
        <v>0</v>
      </c>
      <c r="J136" s="96">
        <v>0</v>
      </c>
    </row>
    <row r="137" spans="1:10" s="93" customFormat="1" ht="25.5" x14ac:dyDescent="0.25">
      <c r="A137" s="126" t="s">
        <v>32</v>
      </c>
      <c r="B137" s="34" t="s">
        <v>138</v>
      </c>
      <c r="C137" s="34" t="s">
        <v>139</v>
      </c>
      <c r="D137" s="62">
        <v>15</v>
      </c>
      <c r="E137" s="8" t="s">
        <v>137</v>
      </c>
      <c r="F137" s="96">
        <v>12.957203120000001</v>
      </c>
      <c r="G137" s="66">
        <v>0</v>
      </c>
      <c r="H137" s="55">
        <f>75437118.1/1000000</f>
        <v>75.437118099999992</v>
      </c>
      <c r="I137" s="95">
        <v>0</v>
      </c>
      <c r="J137" s="96">
        <v>0</v>
      </c>
    </row>
    <row r="138" spans="1:10" s="93" customFormat="1" x14ac:dyDescent="0.25">
      <c r="A138" s="141" t="s">
        <v>43</v>
      </c>
      <c r="B138" s="2"/>
      <c r="C138" s="2"/>
      <c r="D138" s="55"/>
      <c r="E138" s="3"/>
      <c r="F138" s="96">
        <f>2.6988492*L8</f>
        <v>3.0801966072437277</v>
      </c>
      <c r="G138" s="66">
        <v>0</v>
      </c>
      <c r="H138" s="55">
        <f>12992338/1000000</f>
        <v>12.992338</v>
      </c>
      <c r="I138" s="95">
        <v>0</v>
      </c>
      <c r="J138" s="96">
        <v>0</v>
      </c>
    </row>
    <row r="139" spans="1:10" s="93" customFormat="1" x14ac:dyDescent="0.25">
      <c r="A139" s="141" t="s">
        <v>51</v>
      </c>
      <c r="B139" s="2"/>
      <c r="C139" s="2"/>
      <c r="D139" s="62"/>
      <c r="E139" s="1"/>
      <c r="F139" s="96">
        <v>0</v>
      </c>
      <c r="G139" s="98">
        <v>0</v>
      </c>
      <c r="H139" s="65">
        <f>16060587.71/1000000</f>
        <v>16.06058771</v>
      </c>
      <c r="I139" s="95">
        <v>0</v>
      </c>
      <c r="J139" s="96">
        <v>0</v>
      </c>
    </row>
    <row r="140" spans="1:10" s="93" customFormat="1" ht="48.75" customHeight="1" x14ac:dyDescent="0.25">
      <c r="A140" s="143" t="s">
        <v>37</v>
      </c>
      <c r="B140" s="2"/>
      <c r="C140" s="1"/>
      <c r="D140" s="62"/>
      <c r="E140" s="1"/>
      <c r="F140" s="96">
        <f>0.7968216/L10</f>
        <v>3.0530739997104869E-2</v>
      </c>
      <c r="G140" s="98">
        <v>0</v>
      </c>
      <c r="H140" s="65">
        <f>160577.1/1000000</f>
        <v>0.1605771</v>
      </c>
      <c r="I140" s="95">
        <v>0</v>
      </c>
      <c r="J140" s="96">
        <v>0</v>
      </c>
    </row>
    <row r="141" spans="1:10" s="93" customFormat="1" ht="29.25" customHeight="1" x14ac:dyDescent="0.25">
      <c r="A141" s="144" t="s">
        <v>38</v>
      </c>
      <c r="B141" s="2"/>
      <c r="C141" s="1"/>
      <c r="D141" s="62"/>
      <c r="E141" s="1"/>
      <c r="F141" s="96">
        <f>1.79334043/L10</f>
        <v>6.8713009781143281E-2</v>
      </c>
      <c r="G141" s="98">
        <v>0</v>
      </c>
      <c r="H141" s="65">
        <f>289720.5/1000000</f>
        <v>0.28972049999999999</v>
      </c>
      <c r="I141" s="95">
        <v>0</v>
      </c>
      <c r="J141" s="96">
        <v>0</v>
      </c>
    </row>
    <row r="142" spans="1:10" s="93" customFormat="1" ht="30.75" customHeight="1" x14ac:dyDescent="0.25">
      <c r="A142" s="126" t="s">
        <v>33</v>
      </c>
      <c r="B142" s="34" t="s">
        <v>153</v>
      </c>
      <c r="C142" s="34" t="s">
        <v>154</v>
      </c>
      <c r="D142" s="62">
        <f>1.26861793*L8</f>
        <v>1.4478736506932512</v>
      </c>
      <c r="E142" s="8" t="s">
        <v>82</v>
      </c>
      <c r="F142" s="96">
        <f>1.08091182*L8</f>
        <v>1.2336446662872615</v>
      </c>
      <c r="G142" s="98">
        <v>0</v>
      </c>
      <c r="H142" s="65">
        <f>647749.08/1000000</f>
        <v>0.64774907999999998</v>
      </c>
      <c r="I142" s="95">
        <v>0</v>
      </c>
      <c r="J142" s="96">
        <v>0</v>
      </c>
    </row>
    <row r="143" spans="1:10" s="93" customFormat="1" ht="114" x14ac:dyDescent="0.25">
      <c r="A143" s="126" t="s">
        <v>41</v>
      </c>
      <c r="B143" s="34" t="s">
        <v>123</v>
      </c>
      <c r="C143" s="34" t="s">
        <v>124</v>
      </c>
      <c r="D143" s="55">
        <f>9.27658248*L8</f>
        <v>10.587363636957784</v>
      </c>
      <c r="E143" s="8" t="s">
        <v>82</v>
      </c>
      <c r="F143" s="96">
        <f>8.86304848*L8</f>
        <v>10.115397280415918</v>
      </c>
      <c r="G143" s="65">
        <v>0</v>
      </c>
      <c r="H143" s="65">
        <f>22206089.62/1000000</f>
        <v>22.20608962</v>
      </c>
      <c r="I143" s="55">
        <v>0</v>
      </c>
      <c r="J143" s="48">
        <v>0</v>
      </c>
    </row>
    <row r="144" spans="1:10" s="93" customFormat="1" ht="32.25" customHeight="1" x14ac:dyDescent="0.25">
      <c r="A144" s="126" t="s">
        <v>34</v>
      </c>
      <c r="B144" s="34" t="s">
        <v>127</v>
      </c>
      <c r="C144" s="34" t="s">
        <v>128</v>
      </c>
      <c r="D144" s="62">
        <v>2.0579999999999998</v>
      </c>
      <c r="E144" s="8" t="s">
        <v>113</v>
      </c>
      <c r="F144" s="96">
        <f>2.05902565</f>
        <v>2.0590256500000002</v>
      </c>
      <c r="G144" s="65">
        <v>0</v>
      </c>
      <c r="H144" s="98">
        <f>13090935.92/1000000</f>
        <v>13.09093592</v>
      </c>
      <c r="I144" s="95">
        <v>0</v>
      </c>
      <c r="J144" s="96">
        <v>0</v>
      </c>
    </row>
    <row r="145" spans="1:10" s="93" customFormat="1" ht="76.5" x14ac:dyDescent="0.25">
      <c r="A145" s="120" t="s">
        <v>42</v>
      </c>
      <c r="B145" s="6" t="s">
        <v>164</v>
      </c>
      <c r="C145" s="6" t="s">
        <v>165</v>
      </c>
      <c r="D145" s="55">
        <f>50.54923979*L8</f>
        <v>57.691847658590056</v>
      </c>
      <c r="E145" s="4" t="s">
        <v>166</v>
      </c>
      <c r="F145" s="96">
        <f>35.37499117*L8</f>
        <v>40.373477622651471</v>
      </c>
      <c r="G145" s="65">
        <v>0</v>
      </c>
      <c r="H145" s="98">
        <f>(318422822.01+6368742.32)/10000000</f>
        <v>32.479156433</v>
      </c>
      <c r="I145" s="55">
        <v>0</v>
      </c>
      <c r="J145" s="48">
        <v>0</v>
      </c>
    </row>
    <row r="146" spans="1:10" s="93" customFormat="1" ht="28.5" x14ac:dyDescent="0.25">
      <c r="A146" s="139" t="s">
        <v>205</v>
      </c>
      <c r="B146" s="2"/>
      <c r="C146" s="34" t="s">
        <v>204</v>
      </c>
      <c r="D146" s="55">
        <f>254088.34/1000000</f>
        <v>0.25408834000000002</v>
      </c>
      <c r="E146" s="8" t="s">
        <v>82</v>
      </c>
      <c r="F146" s="96">
        <f>51910.68/1000000</f>
        <v>5.1910680000000001E-2</v>
      </c>
      <c r="G146" s="65">
        <f>204474.5/1000000</f>
        <v>0.2044745</v>
      </c>
      <c r="H146" s="99">
        <v>0</v>
      </c>
      <c r="I146" s="95">
        <v>0</v>
      </c>
      <c r="J146" s="96">
        <v>0</v>
      </c>
    </row>
    <row r="147" spans="1:10" s="93" customFormat="1" ht="28.5" x14ac:dyDescent="0.25">
      <c r="A147" s="139" t="s">
        <v>202</v>
      </c>
      <c r="B147" s="2"/>
      <c r="C147" s="34" t="s">
        <v>203</v>
      </c>
      <c r="D147" s="55">
        <f>877965.54/1000000</f>
        <v>0.87796554000000004</v>
      </c>
      <c r="E147" s="8" t="s">
        <v>82</v>
      </c>
      <c r="F147" s="96">
        <f>914667.26/1000000</f>
        <v>0.91466725999999998</v>
      </c>
      <c r="G147" s="55">
        <f>4813125.97/1000000</f>
        <v>4.8131259699999998</v>
      </c>
      <c r="H147" s="99">
        <v>0</v>
      </c>
      <c r="I147" s="95">
        <v>0</v>
      </c>
      <c r="J147" s="96">
        <v>0</v>
      </c>
    </row>
    <row r="148" spans="1:10" ht="28.5" x14ac:dyDescent="0.25">
      <c r="A148" s="130" t="s">
        <v>312</v>
      </c>
      <c r="B148" s="13"/>
      <c r="C148" s="34" t="s">
        <v>197</v>
      </c>
      <c r="D148" s="67">
        <v>0.27500000000000002</v>
      </c>
      <c r="E148" s="8" t="s">
        <v>82</v>
      </c>
      <c r="F148" s="48">
        <f>287598.55/1000000</f>
        <v>0.28759855000000001</v>
      </c>
      <c r="G148" s="55">
        <f>1211906.95/1000000</f>
        <v>1.2119069499999999</v>
      </c>
      <c r="H148" s="55">
        <v>0</v>
      </c>
      <c r="I148" s="48">
        <f>47153.48/1000000</f>
        <v>4.7153480000000005E-2</v>
      </c>
      <c r="J148" s="48">
        <v>0</v>
      </c>
    </row>
    <row r="149" spans="1:10" ht="28.5" x14ac:dyDescent="0.25">
      <c r="A149" s="130" t="s">
        <v>199</v>
      </c>
      <c r="B149" s="13"/>
      <c r="C149" s="34" t="s">
        <v>201</v>
      </c>
      <c r="D149" s="67">
        <f>301054.42/1000000</f>
        <v>0.30105441999999999</v>
      </c>
      <c r="E149" s="8" t="s">
        <v>82</v>
      </c>
      <c r="F149" s="60">
        <f>287454.42/1000000</f>
        <v>0.28745441999999999</v>
      </c>
      <c r="G149" s="55">
        <f>349697.79/1000000</f>
        <v>0.34969778999999995</v>
      </c>
      <c r="H149" s="55">
        <v>0</v>
      </c>
      <c r="I149" s="100">
        <v>0</v>
      </c>
      <c r="J149" s="60">
        <v>0</v>
      </c>
    </row>
    <row r="150" spans="1:10" ht="28.5" x14ac:dyDescent="0.25">
      <c r="A150" s="130" t="s">
        <v>206</v>
      </c>
      <c r="B150" s="13"/>
      <c r="C150" s="34" t="s">
        <v>189</v>
      </c>
      <c r="D150" s="67">
        <f>103746.47/1000000</f>
        <v>0.10374647000000001</v>
      </c>
      <c r="E150" s="8" t="s">
        <v>82</v>
      </c>
      <c r="F150" s="60">
        <f>101112.25/1000000</f>
        <v>0.10111225</v>
      </c>
      <c r="G150" s="55">
        <f>131037.96/1000000</f>
        <v>0.13103796000000001</v>
      </c>
      <c r="H150" s="55">
        <v>0</v>
      </c>
      <c r="I150" s="100">
        <v>0</v>
      </c>
      <c r="J150" s="60">
        <v>0</v>
      </c>
    </row>
    <row r="151" spans="1:10" ht="28.5" x14ac:dyDescent="0.25">
      <c r="A151" s="130" t="s">
        <v>207</v>
      </c>
      <c r="B151" s="13"/>
      <c r="C151" s="34" t="s">
        <v>200</v>
      </c>
      <c r="D151" s="67">
        <f>758195.88/1000000</f>
        <v>0.75819588000000004</v>
      </c>
      <c r="E151" s="8" t="s">
        <v>82</v>
      </c>
      <c r="F151" s="60">
        <f>698712.41/1000000</f>
        <v>0.69871241000000006</v>
      </c>
      <c r="G151" s="55">
        <v>0</v>
      </c>
      <c r="H151" s="55">
        <v>0</v>
      </c>
      <c r="I151" s="100">
        <v>0</v>
      </c>
      <c r="J151" s="60">
        <v>0</v>
      </c>
    </row>
    <row r="152" spans="1:10" ht="28.5" x14ac:dyDescent="0.25">
      <c r="A152" s="130" t="s">
        <v>208</v>
      </c>
      <c r="B152" s="13"/>
      <c r="C152" s="34" t="s">
        <v>212</v>
      </c>
      <c r="D152" s="67">
        <f>90490/1000000</f>
        <v>9.0490000000000001E-2</v>
      </c>
      <c r="E152" s="8" t="s">
        <v>82</v>
      </c>
      <c r="F152" s="60">
        <f>1719.65/1000000</f>
        <v>1.7196500000000001E-3</v>
      </c>
      <c r="G152" s="55">
        <f>597.47/1000000</f>
        <v>5.9747000000000001E-4</v>
      </c>
      <c r="H152" s="55">
        <v>0</v>
      </c>
      <c r="I152" s="100">
        <v>0</v>
      </c>
      <c r="J152" s="60">
        <v>0</v>
      </c>
    </row>
    <row r="153" spans="1:10" ht="28.5" x14ac:dyDescent="0.25">
      <c r="A153" s="130" t="s">
        <v>209</v>
      </c>
      <c r="B153" s="13"/>
      <c r="C153" s="34" t="s">
        <v>213</v>
      </c>
      <c r="D153" s="67">
        <f>349360.36/1000000</f>
        <v>0.34936035999999998</v>
      </c>
      <c r="E153" s="8" t="s">
        <v>82</v>
      </c>
      <c r="F153" s="60">
        <f>360035/1000000</f>
        <v>0.36003499999999999</v>
      </c>
      <c r="G153" s="55">
        <f>1251832.7/1000000</f>
        <v>1.2518327</v>
      </c>
      <c r="H153" s="55">
        <v>0</v>
      </c>
      <c r="I153" s="100">
        <v>0</v>
      </c>
      <c r="J153" s="60">
        <v>0</v>
      </c>
    </row>
    <row r="154" spans="1:10" ht="28.5" x14ac:dyDescent="0.25">
      <c r="A154" s="130" t="s">
        <v>210</v>
      </c>
      <c r="B154" s="13"/>
      <c r="C154" s="34" t="s">
        <v>211</v>
      </c>
      <c r="D154" s="67">
        <f>199992.16/1000000</f>
        <v>0.19999216</v>
      </c>
      <c r="E154" s="8" t="s">
        <v>82</v>
      </c>
      <c r="F154" s="60">
        <f>182205.58/1000000</f>
        <v>0.18220557999999998</v>
      </c>
      <c r="G154" s="55">
        <v>0</v>
      </c>
      <c r="H154" s="55">
        <v>0</v>
      </c>
      <c r="I154" s="100">
        <v>0</v>
      </c>
      <c r="J154" s="60">
        <v>0</v>
      </c>
    </row>
    <row r="155" spans="1:10" s="93" customFormat="1" ht="38.25" x14ac:dyDescent="0.25">
      <c r="A155" s="126" t="s">
        <v>35</v>
      </c>
      <c r="B155" s="7" t="s">
        <v>76</v>
      </c>
      <c r="C155" s="7" t="s">
        <v>214</v>
      </c>
      <c r="D155" s="55">
        <v>50</v>
      </c>
      <c r="E155" s="4" t="s">
        <v>77</v>
      </c>
      <c r="F155" s="91">
        <f>38787004.58/1000000</f>
        <v>38.787004580000001</v>
      </c>
      <c r="G155" s="55">
        <v>0</v>
      </c>
      <c r="H155" s="55">
        <f>199955474.61/1000000</f>
        <v>199.95547461000001</v>
      </c>
      <c r="I155" s="95">
        <v>0</v>
      </c>
      <c r="J155" s="96">
        <v>0</v>
      </c>
    </row>
    <row r="156" spans="1:10" s="93" customFormat="1" ht="25.5" x14ac:dyDescent="0.25">
      <c r="A156" s="120" t="s">
        <v>50</v>
      </c>
      <c r="B156" s="15" t="s">
        <v>217</v>
      </c>
      <c r="C156" s="16" t="s">
        <v>284</v>
      </c>
      <c r="D156" s="49">
        <v>10.9</v>
      </c>
      <c r="E156" s="5" t="s">
        <v>131</v>
      </c>
      <c r="F156" s="48">
        <v>7.5999999999999998E-2</v>
      </c>
      <c r="G156" s="66">
        <v>0</v>
      </c>
      <c r="H156" s="66">
        <f>663159.05/1000000</f>
        <v>0.66315905000000008</v>
      </c>
      <c r="I156" s="95">
        <v>0</v>
      </c>
      <c r="J156" s="96">
        <v>0</v>
      </c>
    </row>
    <row r="157" spans="1:10" s="93" customFormat="1" ht="25.5" x14ac:dyDescent="0.25">
      <c r="A157" s="145" t="s">
        <v>46</v>
      </c>
      <c r="B157" s="16" t="s">
        <v>285</v>
      </c>
      <c r="C157" s="16" t="s">
        <v>286</v>
      </c>
      <c r="D157" s="68">
        <v>2</v>
      </c>
      <c r="E157" s="5" t="s">
        <v>287</v>
      </c>
      <c r="F157" s="74">
        <v>0.38300000000000001</v>
      </c>
      <c r="G157" s="66">
        <v>0</v>
      </c>
      <c r="H157" s="66">
        <v>0</v>
      </c>
      <c r="I157" s="95">
        <v>0</v>
      </c>
      <c r="J157" s="96">
        <v>0</v>
      </c>
    </row>
    <row r="158" spans="1:10" s="93" customFormat="1" ht="25.5" x14ac:dyDescent="0.25">
      <c r="A158" s="146" t="s">
        <v>47</v>
      </c>
      <c r="B158" s="34" t="s">
        <v>129</v>
      </c>
      <c r="C158" s="34" t="s">
        <v>130</v>
      </c>
      <c r="D158" s="55">
        <v>4.5999999999999996</v>
      </c>
      <c r="E158" s="4" t="s">
        <v>131</v>
      </c>
      <c r="F158" s="48">
        <v>9.5259999999999998</v>
      </c>
      <c r="G158" s="101">
        <v>0</v>
      </c>
      <c r="H158" s="55">
        <f>35489606.96/1000000</f>
        <v>35.489606960000003</v>
      </c>
      <c r="I158" s="55">
        <v>0</v>
      </c>
      <c r="J158" s="48">
        <v>0</v>
      </c>
    </row>
    <row r="159" spans="1:10" s="93" customFormat="1" ht="76.5" x14ac:dyDescent="0.25">
      <c r="A159" s="126" t="s">
        <v>319</v>
      </c>
      <c r="B159" s="16" t="s">
        <v>223</v>
      </c>
      <c r="C159" s="16" t="s">
        <v>224</v>
      </c>
      <c r="D159" s="102">
        <v>1.4562987000000001</v>
      </c>
      <c r="E159" s="6" t="s">
        <v>225</v>
      </c>
      <c r="F159" s="50">
        <v>4.0000000000000001E-3</v>
      </c>
      <c r="G159" s="103">
        <v>0</v>
      </c>
      <c r="H159" s="55">
        <f>8878.92/1000000</f>
        <v>8.8789200000000002E-3</v>
      </c>
      <c r="I159" s="55">
        <v>0</v>
      </c>
      <c r="J159" s="48">
        <v>0</v>
      </c>
    </row>
    <row r="160" spans="1:10" ht="63.75" customHeight="1" x14ac:dyDescent="0.25">
      <c r="A160" s="126" t="s">
        <v>333</v>
      </c>
      <c r="B160" s="34" t="s">
        <v>92</v>
      </c>
      <c r="C160" s="34" t="s">
        <v>93</v>
      </c>
      <c r="D160" s="55">
        <f>4.04310139*L8</f>
        <v>4.6143916393033004</v>
      </c>
      <c r="E160" s="8" t="s">
        <v>82</v>
      </c>
      <c r="F160" s="60">
        <f>3.64389715*L8</f>
        <v>4.1587798379305845</v>
      </c>
      <c r="G160" s="56">
        <v>0</v>
      </c>
      <c r="H160" s="55">
        <f>20153250.29/1000000</f>
        <v>20.153250289999999</v>
      </c>
      <c r="I160" s="47">
        <v>0</v>
      </c>
      <c r="J160" s="60">
        <v>0</v>
      </c>
    </row>
    <row r="161" spans="1:12" ht="111" customHeight="1" x14ac:dyDescent="0.25">
      <c r="A161" s="126" t="s">
        <v>313</v>
      </c>
      <c r="B161" s="179" t="s">
        <v>86</v>
      </c>
      <c r="C161" s="179" t="s">
        <v>87</v>
      </c>
      <c r="D161" s="181">
        <f>1.2782297*L8</f>
        <v>1.4588435638486832</v>
      </c>
      <c r="E161" s="183" t="s">
        <v>88</v>
      </c>
      <c r="F161" s="175">
        <f>1.35594747*L8</f>
        <v>1.5475428551898032</v>
      </c>
      <c r="G161" s="66">
        <v>0</v>
      </c>
      <c r="H161" s="55">
        <f>13786427.66/1000000</f>
        <v>13.786427659999999</v>
      </c>
      <c r="I161" s="47">
        <v>0</v>
      </c>
      <c r="J161" s="60">
        <v>0</v>
      </c>
    </row>
    <row r="162" spans="1:12" ht="111.75" customHeight="1" x14ac:dyDescent="0.25">
      <c r="A162" s="140" t="s">
        <v>338</v>
      </c>
      <c r="B162" s="180"/>
      <c r="C162" s="180"/>
      <c r="D162" s="182"/>
      <c r="E162" s="184"/>
      <c r="F162" s="176"/>
      <c r="G162" s="98">
        <v>0</v>
      </c>
      <c r="H162" s="65">
        <f>14402241.08/1000000</f>
        <v>14.40224108</v>
      </c>
      <c r="I162" s="100">
        <v>0</v>
      </c>
      <c r="J162" s="60">
        <v>0</v>
      </c>
    </row>
    <row r="163" spans="1:12" ht="44.25" x14ac:dyDescent="0.25">
      <c r="A163" s="126" t="s">
        <v>332</v>
      </c>
      <c r="B163" s="214"/>
      <c r="C163" s="214"/>
      <c r="D163" s="217"/>
      <c r="E163" s="214"/>
      <c r="F163" s="223">
        <f>8.0700584/L10</f>
        <v>0.30920955803890371</v>
      </c>
      <c r="G163" s="55">
        <v>0</v>
      </c>
      <c r="H163" s="55">
        <f>3105593.02/1000000</f>
        <v>3.1055930200000001</v>
      </c>
      <c r="I163" s="181">
        <v>0</v>
      </c>
      <c r="J163" s="175">
        <v>0</v>
      </c>
    </row>
    <row r="164" spans="1:12" ht="49.5" customHeight="1" x14ac:dyDescent="0.25">
      <c r="A164" s="126" t="s">
        <v>314</v>
      </c>
      <c r="B164" s="215"/>
      <c r="C164" s="215"/>
      <c r="D164" s="218"/>
      <c r="E164" s="215"/>
      <c r="F164" s="224"/>
      <c r="G164" s="55">
        <v>0</v>
      </c>
      <c r="H164" s="55">
        <f>3231489.18/1000000</f>
        <v>3.2314891800000001</v>
      </c>
      <c r="I164" s="205"/>
      <c r="J164" s="196"/>
    </row>
    <row r="165" spans="1:12" ht="66" customHeight="1" x14ac:dyDescent="0.25">
      <c r="A165" s="126" t="s">
        <v>315</v>
      </c>
      <c r="B165" s="215"/>
      <c r="C165" s="215"/>
      <c r="D165" s="218"/>
      <c r="E165" s="215"/>
      <c r="F165" s="224"/>
      <c r="G165" s="55">
        <v>0</v>
      </c>
      <c r="H165" s="55">
        <f>3149171.34/1000000</f>
        <v>3.1491713399999997</v>
      </c>
      <c r="I165" s="205"/>
      <c r="J165" s="196"/>
    </row>
    <row r="166" spans="1:12" ht="75.75" customHeight="1" x14ac:dyDescent="0.25">
      <c r="A166" s="147" t="s">
        <v>331</v>
      </c>
      <c r="B166" s="216"/>
      <c r="C166" s="216"/>
      <c r="D166" s="219"/>
      <c r="E166" s="216"/>
      <c r="F166" s="225"/>
      <c r="G166" s="65">
        <v>0</v>
      </c>
      <c r="H166" s="65">
        <f>2224878.48/1000000</f>
        <v>2.2248784800000001</v>
      </c>
      <c r="I166" s="182"/>
      <c r="J166" s="176"/>
    </row>
    <row r="167" spans="1:12" ht="76.5" customHeight="1" x14ac:dyDescent="0.25">
      <c r="A167" s="126" t="s">
        <v>316</v>
      </c>
      <c r="B167" s="34" t="s">
        <v>98</v>
      </c>
      <c r="C167" s="34" t="s">
        <v>99</v>
      </c>
      <c r="D167" s="47">
        <f>2.77353707*L8</f>
        <v>3.1654378736976891</v>
      </c>
      <c r="E167" s="8" t="s">
        <v>82</v>
      </c>
      <c r="F167" s="60">
        <f>2.28872099*L8</f>
        <v>2.6121172788481495</v>
      </c>
      <c r="G167" s="65">
        <v>0</v>
      </c>
      <c r="H167" s="65">
        <f>7018311.34/1000000</f>
        <v>7.0183113399999995</v>
      </c>
      <c r="I167" s="47">
        <v>0</v>
      </c>
      <c r="J167" s="60">
        <v>0</v>
      </c>
    </row>
    <row r="168" spans="1:12" ht="64.5" customHeight="1" thickBot="1" x14ac:dyDescent="0.3">
      <c r="A168" s="121" t="s">
        <v>317</v>
      </c>
      <c r="B168" s="26" t="s">
        <v>80</v>
      </c>
      <c r="C168" s="26" t="s">
        <v>81</v>
      </c>
      <c r="D168" s="53">
        <f>4.09479198*L8</f>
        <v>4.6733861099630261</v>
      </c>
      <c r="E168" s="30" t="s">
        <v>82</v>
      </c>
      <c r="F168" s="106">
        <f>3.99062006*L8</f>
        <v>4.5544946970770948</v>
      </c>
      <c r="G168" s="94">
        <v>0</v>
      </c>
      <c r="H168" s="94">
        <f>9021661.38/1000000</f>
        <v>9.0216613800000012</v>
      </c>
      <c r="I168" s="53">
        <v>0</v>
      </c>
      <c r="J168" s="106">
        <v>0</v>
      </c>
    </row>
    <row r="169" spans="1:12" s="87" customFormat="1" ht="21" customHeight="1" thickBot="1" x14ac:dyDescent="0.25">
      <c r="A169" s="150" t="s">
        <v>341</v>
      </c>
      <c r="B169" s="82"/>
      <c r="C169" s="107"/>
      <c r="D169" s="84"/>
      <c r="E169" s="107"/>
      <c r="F169" s="86">
        <f>SUM(F126:F159)</f>
        <v>239.51488163790282</v>
      </c>
      <c r="G169" s="86"/>
      <c r="H169" s="86"/>
      <c r="I169" s="86">
        <f>SUM(I126:I168)</f>
        <v>4.7153480000000005E-2</v>
      </c>
      <c r="J169" s="86">
        <f>SUM(J126:J168)</f>
        <v>0</v>
      </c>
    </row>
    <row r="170" spans="1:12" s="87" customFormat="1" ht="22.5" customHeight="1" thickBot="1" x14ac:dyDescent="0.25">
      <c r="A170" s="148" t="s">
        <v>342</v>
      </c>
      <c r="B170" s="108"/>
      <c r="C170" s="109"/>
      <c r="D170" s="110"/>
      <c r="E170" s="109"/>
      <c r="F170" s="111">
        <f>F169+F124</f>
        <v>1928.3394885833288</v>
      </c>
      <c r="G170" s="110"/>
      <c r="H170" s="109"/>
      <c r="I170" s="112">
        <f>I169+I124</f>
        <v>4362.7880029399994</v>
      </c>
      <c r="J170" s="170">
        <f>J169+J124</f>
        <v>2523.1688639700001</v>
      </c>
    </row>
    <row r="171" spans="1:12" x14ac:dyDescent="0.25">
      <c r="I171" s="113"/>
      <c r="J171" s="114"/>
    </row>
    <row r="172" spans="1:12" x14ac:dyDescent="0.25">
      <c r="A172" s="116"/>
      <c r="B172" s="115"/>
      <c r="C172" s="115"/>
      <c r="D172" s="115"/>
      <c r="E172" s="115"/>
      <c r="F172" s="116"/>
      <c r="G172" s="115"/>
      <c r="H172" s="115"/>
      <c r="I172" s="117"/>
      <c r="J172" s="118"/>
      <c r="K172" s="115"/>
    </row>
    <row r="173" spans="1:12" s="89" customFormat="1" ht="14.25" customHeight="1" x14ac:dyDescent="0.25">
      <c r="A173" s="87"/>
      <c r="B173" s="87"/>
      <c r="C173" s="87"/>
      <c r="F173" s="87"/>
      <c r="H173" s="119"/>
      <c r="J173" s="87"/>
      <c r="K173" s="119"/>
      <c r="L173" s="119"/>
    </row>
    <row r="174" spans="1:12" x14ac:dyDescent="0.25">
      <c r="C174" s="39"/>
      <c r="D174" s="39"/>
    </row>
    <row r="175" spans="1:12" x14ac:dyDescent="0.25">
      <c r="C175" s="39"/>
    </row>
    <row r="176" spans="1:12" x14ac:dyDescent="0.25">
      <c r="C176" s="39"/>
    </row>
  </sheetData>
  <mergeCells count="62">
    <mergeCell ref="J94:J95"/>
    <mergeCell ref="J103:J104"/>
    <mergeCell ref="B79:B80"/>
    <mergeCell ref="C163:C166"/>
    <mergeCell ref="D163:D166"/>
    <mergeCell ref="E163:E166"/>
    <mergeCell ref="B163:B166"/>
    <mergeCell ref="A125:J125"/>
    <mergeCell ref="A114:A120"/>
    <mergeCell ref="I163:I166"/>
    <mergeCell ref="J163:J166"/>
    <mergeCell ref="F161:F162"/>
    <mergeCell ref="F163:F166"/>
    <mergeCell ref="J101:J102"/>
    <mergeCell ref="I94:I95"/>
    <mergeCell ref="I101:I102"/>
    <mergeCell ref="A94:A95"/>
    <mergeCell ref="A101:A102"/>
    <mergeCell ref="A103:A104"/>
    <mergeCell ref="A105:A108"/>
    <mergeCell ref="A109:A112"/>
    <mergeCell ref="A4:J4"/>
    <mergeCell ref="A5:J5"/>
    <mergeCell ref="H22:H24"/>
    <mergeCell ref="B21:B24"/>
    <mergeCell ref="C21:C24"/>
    <mergeCell ref="D21:D24"/>
    <mergeCell ref="E21:E24"/>
    <mergeCell ref="I8:J8"/>
    <mergeCell ref="G8:H8"/>
    <mergeCell ref="D8:D9"/>
    <mergeCell ref="E8:E9"/>
    <mergeCell ref="F8:F9"/>
    <mergeCell ref="I21:I24"/>
    <mergeCell ref="J21:J24"/>
    <mergeCell ref="G22:G24"/>
    <mergeCell ref="A8:A9"/>
    <mergeCell ref="B8:B9"/>
    <mergeCell ref="C8:C9"/>
    <mergeCell ref="F21:F24"/>
    <mergeCell ref="A28:A30"/>
    <mergeCell ref="H28:H29"/>
    <mergeCell ref="F51:F52"/>
    <mergeCell ref="A79:A80"/>
    <mergeCell ref="E79:E80"/>
    <mergeCell ref="H43:H44"/>
    <mergeCell ref="H45:H46"/>
    <mergeCell ref="H56:H57"/>
    <mergeCell ref="A56:A57"/>
    <mergeCell ref="A43:A47"/>
    <mergeCell ref="B51:B52"/>
    <mergeCell ref="C51:C52"/>
    <mergeCell ref="D51:D52"/>
    <mergeCell ref="E51:E52"/>
    <mergeCell ref="A59:A62"/>
    <mergeCell ref="H59:H60"/>
    <mergeCell ref="I103:I104"/>
    <mergeCell ref="F134:F135"/>
    <mergeCell ref="B161:B162"/>
    <mergeCell ref="C161:C162"/>
    <mergeCell ref="D161:D162"/>
    <mergeCell ref="E161:E162"/>
  </mergeCells>
  <printOptions horizontalCentered="1"/>
  <pageMargins left="0.19685039370078741" right="0.19685039370078741" top="0.51181102362204722" bottom="0.39370078740157483" header="0" footer="7.874015748031496E-2"/>
  <pageSetup paperSize="9" scale="61" fitToHeight="9" orientation="landscape" r:id="rId1"/>
  <headerFooter>
    <oddHeader>&amp;R&amp;7&amp;P</oddHeader>
    <oddFooter>&amp;C&amp;6&amp;F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MFWF-361-42932</_dlc_DocId>
    <_dlc_DocIdUrl xmlns="acedc1b3-a6a6-4744-bb8f-c9b717f8a9c9">
      <Url>http://workflow/12000/12100/12110/_layouts/DocIdRedir.aspx?ID=MFWF-361-42932</Url>
      <Description>MFWF-361-42932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763514BE1C6464AA52EB960E0D8DD69" ma:contentTypeVersion="9" ma:contentTypeDescription="Створення нового документа." ma:contentTypeScope="" ma:versionID="956621a4b83f1ef410c9f1771b776516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8B477-9203-4878-BB25-653AF096DC79}">
  <ds:schemaRefs>
    <ds:schemaRef ds:uri="http://schemas.microsoft.com/office/2006/metadata/properties"/>
    <ds:schemaRef ds:uri="http://schemas.microsoft.com/office/infopath/2007/PartnerControls"/>
    <ds:schemaRef ds:uri="acedc1b3-a6a6-4744-bb8f-c9b717f8a9c9"/>
  </ds:schemaRefs>
</ds:datastoreItem>
</file>

<file path=customXml/itemProps2.xml><?xml version="1.0" encoding="utf-8"?>
<ds:datastoreItem xmlns:ds="http://schemas.openxmlformats.org/officeDocument/2006/customXml" ds:itemID="{48007C60-9735-4731-AFD2-F23CB75545A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140C4F5-EB46-47CD-877A-41847200E3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86234C-B8E0-4A21-8711-662B60630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01.07.2017</vt:lpstr>
      <vt:lpstr>'на 01.07.2017'!Заголовки_для_печати</vt:lpstr>
      <vt:lpstr>'на 01.07.2017'!Область_печати</vt:lpstr>
    </vt:vector>
  </TitlesOfParts>
  <Company>DKU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j_klymchuk</dc:creator>
  <cp:lastModifiedBy>Admin</cp:lastModifiedBy>
  <cp:lastPrinted>2017-07-17T08:12:42Z</cp:lastPrinted>
  <dcterms:created xsi:type="dcterms:W3CDTF">2016-02-25T14:42:35Z</dcterms:created>
  <dcterms:modified xsi:type="dcterms:W3CDTF">2019-07-12T11:02:26Z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0x010100D763514BE1C6464AA52EB960E0D8DD69</vt:lpwstr>
  </property>
  <property fmtid="{D5CDD505-2E9C-101B-9397-08002B2CF9AE}" pid="3" name="_dlc_DocIdItemGuid">
    <vt:lpwstr>5bd8a4e6-8a8d-4023-b950-5b472073d18f</vt:lpwstr>
  </property>
</Properties>
</file>